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120" windowWidth="23250" windowHeight="12015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ВСР!$A$8:$G$150</definedName>
    <definedName name="_xlnm._FilterDatabase" localSheetId="2" hidden="1">'Прилож.3 Распр.по ассигн.'!$A$7:$F$142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ВСР!$A$1:$I$150</definedName>
    <definedName name="_xlnm.Print_Area" localSheetId="0">Доходы!$A$1:$G$49</definedName>
    <definedName name="_xlnm.Print_Area" localSheetId="2">'Прилож.3 Распр.по ассигн.'!$A$1:$H$144</definedName>
    <definedName name="_xlnm.Print_Area" localSheetId="3">'Приложение 4 Источники'!$A$1:$E$42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 refMode="R1C1"/>
</workbook>
</file>

<file path=xl/calcChain.xml><?xml version="1.0" encoding="utf-8"?>
<calcChain xmlns="http://schemas.openxmlformats.org/spreadsheetml/2006/main">
  <c r="F32" i="11" l="1"/>
  <c r="E32" i="11"/>
  <c r="F13" i="11"/>
  <c r="I157" i="8" l="1"/>
  <c r="H157" i="8"/>
  <c r="H42" i="8"/>
  <c r="E13" i="11"/>
  <c r="G131" i="8" l="1"/>
  <c r="G41" i="8"/>
  <c r="G101" i="8"/>
  <c r="L70" i="8"/>
  <c r="G70" i="8"/>
  <c r="G66" i="8"/>
  <c r="G62" i="8"/>
  <c r="G34" i="8"/>
  <c r="G13" i="8"/>
  <c r="G18" i="8"/>
  <c r="G103" i="8"/>
  <c r="G40" i="8"/>
  <c r="G38" i="8"/>
  <c r="G39" i="8"/>
  <c r="G72" i="8"/>
  <c r="G14" i="8" l="1"/>
  <c r="G21" i="8" l="1"/>
  <c r="H70" i="8" l="1"/>
  <c r="G105" i="8"/>
  <c r="D20" i="10" l="1"/>
  <c r="E20" i="10"/>
  <c r="G126" i="8"/>
  <c r="H18" i="8" l="1"/>
  <c r="I18" i="8"/>
  <c r="H17" i="8"/>
  <c r="G17" i="8"/>
  <c r="G30" i="8" l="1"/>
  <c r="I17" i="8" l="1"/>
  <c r="G139" i="8"/>
  <c r="I32" i="8" l="1"/>
  <c r="H32" i="8"/>
  <c r="G64" i="8" l="1"/>
  <c r="G68" i="8"/>
  <c r="F53" i="9" l="1"/>
  <c r="G37" i="8" l="1"/>
  <c r="F46" i="9" l="1"/>
  <c r="F41" i="9"/>
  <c r="G16" i="8" l="1"/>
  <c r="I31" i="8"/>
  <c r="H42" i="9" s="1"/>
  <c r="H41" i="9" s="1"/>
  <c r="H31" i="8"/>
  <c r="G42" i="9" s="1"/>
  <c r="G41" i="9" s="1"/>
  <c r="G31" i="8"/>
  <c r="F42" i="9" s="1"/>
  <c r="H125" i="9"/>
  <c r="H124" i="9" s="1"/>
  <c r="H123" i="9" s="1"/>
  <c r="G125" i="9"/>
  <c r="G124" i="9" s="1"/>
  <c r="G123" i="9" s="1"/>
  <c r="F125" i="9"/>
  <c r="D124" i="9"/>
  <c r="I111" i="8"/>
  <c r="I110" i="8" s="1"/>
  <c r="H111" i="8"/>
  <c r="H110" i="8" s="1"/>
  <c r="G111" i="8"/>
  <c r="G110" i="8" s="1"/>
  <c r="F124" i="9" l="1"/>
  <c r="F123" i="9"/>
  <c r="G90" i="8"/>
  <c r="G65" i="8" l="1"/>
  <c r="E17" i="10" l="1"/>
  <c r="D17" i="10"/>
  <c r="C20" i="10"/>
  <c r="C18" i="10"/>
  <c r="H135" i="8"/>
  <c r="I135" i="8"/>
  <c r="G135" i="8"/>
  <c r="C17" i="10" l="1"/>
  <c r="I138" i="8"/>
  <c r="H138" i="8"/>
  <c r="G138" i="8"/>
  <c r="I131" i="8"/>
  <c r="H131" i="8"/>
  <c r="I21" i="8"/>
  <c r="H21" i="8"/>
  <c r="I38" i="8"/>
  <c r="I37" i="8" s="1"/>
  <c r="H38" i="8"/>
  <c r="H37" i="8" s="1"/>
  <c r="I15" i="8" l="1"/>
  <c r="H15" i="8"/>
  <c r="F36" i="11" l="1"/>
  <c r="G36" i="11"/>
  <c r="G22" i="11" l="1"/>
  <c r="F28" i="11"/>
  <c r="G28" i="11"/>
  <c r="E28" i="11"/>
  <c r="G26" i="11"/>
  <c r="F26" i="11"/>
  <c r="E26" i="11"/>
  <c r="E23" i="11"/>
  <c r="E22" i="11" s="1"/>
  <c r="F23" i="11"/>
  <c r="F22" i="11" s="1"/>
  <c r="G23" i="11"/>
  <c r="F30" i="11"/>
  <c r="G30" i="11"/>
  <c r="E30" i="11"/>
  <c r="C15" i="10" l="1"/>
  <c r="C12" i="10" s="1"/>
  <c r="G85" i="9"/>
  <c r="H85" i="9"/>
  <c r="F85" i="9"/>
  <c r="G87" i="9"/>
  <c r="H87" i="9"/>
  <c r="H86" i="9"/>
  <c r="G86" i="9"/>
  <c r="F86" i="9"/>
  <c r="G28" i="9"/>
  <c r="H28" i="9"/>
  <c r="F28" i="9"/>
  <c r="F52" i="9"/>
  <c r="G52" i="9"/>
  <c r="H84" i="9" l="1"/>
  <c r="G84" i="9"/>
  <c r="G71" i="8"/>
  <c r="G108" i="8" l="1"/>
  <c r="H108" i="8"/>
  <c r="I108" i="8"/>
  <c r="D15" i="10" l="1"/>
  <c r="G130" i="8"/>
  <c r="F35" i="11"/>
  <c r="G35" i="11"/>
  <c r="F38" i="11"/>
  <c r="G38" i="11"/>
  <c r="I4" i="8"/>
  <c r="F4" i="9" s="1"/>
  <c r="F17" i="11" l="1"/>
  <c r="G17" i="11"/>
  <c r="E17" i="11"/>
  <c r="F54" i="9" l="1"/>
  <c r="H125" i="8" l="1"/>
  <c r="H124" i="8" s="1"/>
  <c r="H123" i="8" s="1"/>
  <c r="I125" i="8"/>
  <c r="I124" i="8" s="1"/>
  <c r="I123" i="8" s="1"/>
  <c r="G125" i="8"/>
  <c r="D12" i="10"/>
  <c r="E15" i="10"/>
  <c r="E12" i="10" s="1"/>
  <c r="C13" i="10"/>
  <c r="G124" i="8" l="1"/>
  <c r="G123" i="8" s="1"/>
  <c r="I122" i="8"/>
  <c r="H141" i="9"/>
  <c r="H122" i="8"/>
  <c r="G141" i="9"/>
  <c r="G122" i="8" l="1"/>
  <c r="F141" i="9"/>
  <c r="F140" i="9" s="1"/>
  <c r="F139" i="9" s="1"/>
  <c r="G140" i="9"/>
  <c r="G139" i="9" s="1"/>
  <c r="H140" i="9"/>
  <c r="H139" i="9" s="1"/>
  <c r="I29" i="8"/>
  <c r="H29" i="8"/>
  <c r="G29" i="8"/>
  <c r="F40" i="9" s="1"/>
  <c r="G40" i="9" l="1"/>
  <c r="H40" i="9"/>
  <c r="G148" i="8"/>
  <c r="F138" i="9" l="1"/>
  <c r="G138" i="9" l="1"/>
  <c r="H138" i="9"/>
  <c r="G134" i="9"/>
  <c r="H134" i="9"/>
  <c r="G130" i="9"/>
  <c r="H130" i="9"/>
  <c r="G128" i="9"/>
  <c r="H128" i="9"/>
  <c r="G122" i="9"/>
  <c r="H122" i="9"/>
  <c r="G118" i="9"/>
  <c r="H118" i="9"/>
  <c r="G116" i="9"/>
  <c r="H116" i="9"/>
  <c r="G114" i="9"/>
  <c r="H114" i="9"/>
  <c r="G110" i="9"/>
  <c r="H110" i="9"/>
  <c r="G108" i="9"/>
  <c r="H108" i="9"/>
  <c r="G106" i="9"/>
  <c r="H106" i="9"/>
  <c r="G104" i="9"/>
  <c r="H104" i="9"/>
  <c r="G102" i="9"/>
  <c r="H102" i="9"/>
  <c r="G100" i="9"/>
  <c r="H100" i="9"/>
  <c r="G97" i="9"/>
  <c r="H97" i="9"/>
  <c r="G93" i="9"/>
  <c r="H93" i="9"/>
  <c r="G89" i="9"/>
  <c r="H89" i="9"/>
  <c r="G83" i="9"/>
  <c r="H83" i="9"/>
  <c r="G81" i="9"/>
  <c r="H81" i="9"/>
  <c r="G79" i="9"/>
  <c r="H79" i="9"/>
  <c r="G75" i="9"/>
  <c r="H75" i="9"/>
  <c r="G73" i="9"/>
  <c r="H73" i="9"/>
  <c r="G67" i="9"/>
  <c r="H67" i="9"/>
  <c r="G64" i="9"/>
  <c r="H64" i="9"/>
  <c r="G60" i="9"/>
  <c r="H60" i="9"/>
  <c r="H56" i="9"/>
  <c r="G54" i="9"/>
  <c r="H54" i="9"/>
  <c r="G51" i="9"/>
  <c r="G50" i="9" s="1"/>
  <c r="H51" i="9"/>
  <c r="G49" i="9"/>
  <c r="H49" i="9"/>
  <c r="G46" i="9"/>
  <c r="H46" i="9"/>
  <c r="G44" i="9"/>
  <c r="H44" i="9"/>
  <c r="G38" i="9"/>
  <c r="H38" i="9"/>
  <c r="G35" i="9"/>
  <c r="H35" i="9"/>
  <c r="G29" i="9"/>
  <c r="F100" i="9" l="1"/>
  <c r="F116" i="9" l="1"/>
  <c r="G20" i="8" l="1"/>
  <c r="G56" i="9"/>
  <c r="F56" i="9"/>
  <c r="G69" i="9"/>
  <c r="H69" i="9"/>
  <c r="G63" i="9"/>
  <c r="H63" i="9"/>
  <c r="F64" i="9"/>
  <c r="F49" i="9"/>
  <c r="F44" i="9"/>
  <c r="F38" i="9"/>
  <c r="G32" i="9"/>
  <c r="H32" i="9"/>
  <c r="G31" i="9"/>
  <c r="H31" i="9"/>
  <c r="H29" i="9"/>
  <c r="G25" i="9"/>
  <c r="H25" i="9"/>
  <c r="G22" i="9"/>
  <c r="H22" i="9"/>
  <c r="G20" i="9"/>
  <c r="H20" i="9"/>
  <c r="G18" i="9"/>
  <c r="G17" i="9" s="1"/>
  <c r="H18" i="9"/>
  <c r="H17" i="9" s="1"/>
  <c r="G13" i="9"/>
  <c r="H13" i="9"/>
  <c r="F110" i="9" l="1"/>
  <c r="F114" i="9"/>
  <c r="F118" i="9"/>
  <c r="F122" i="9"/>
  <c r="F128" i="9"/>
  <c r="F130" i="9"/>
  <c r="F134" i="9"/>
  <c r="I71" i="8" l="1"/>
  <c r="G88" i="9" l="1"/>
  <c r="H88" i="9"/>
  <c r="F87" i="9"/>
  <c r="F84" i="9" s="1"/>
  <c r="F89" i="9"/>
  <c r="F88" i="9" s="1"/>
  <c r="H75" i="8"/>
  <c r="I75" i="8"/>
  <c r="G75" i="8"/>
  <c r="H77" i="9" l="1"/>
  <c r="G77" i="9"/>
  <c r="G21" i="9"/>
  <c r="H27" i="9"/>
  <c r="G27" i="9"/>
  <c r="H52" i="9"/>
  <c r="H50" i="9" s="1"/>
  <c r="F137" i="9"/>
  <c r="H21" i="9"/>
  <c r="H19" i="9" s="1"/>
  <c r="F42" i="11" l="1"/>
  <c r="G42" i="11"/>
  <c r="E42" i="11"/>
  <c r="F46" i="11"/>
  <c r="G46" i="11"/>
  <c r="E46" i="11"/>
  <c r="F14" i="11"/>
  <c r="G14" i="11"/>
  <c r="E14" i="11"/>
  <c r="F21" i="9" l="1"/>
  <c r="G62" i="9" l="1"/>
  <c r="H62" i="9"/>
  <c r="F63" i="9"/>
  <c r="I50" i="8"/>
  <c r="I49" i="8" s="1"/>
  <c r="H50" i="8"/>
  <c r="H49" i="8" s="1"/>
  <c r="G50" i="8"/>
  <c r="G49" i="8" s="1"/>
  <c r="F62" i="9" l="1"/>
  <c r="H116" i="8"/>
  <c r="H114" i="8"/>
  <c r="H137" i="8"/>
  <c r="H55" i="9"/>
  <c r="G55" i="9"/>
  <c r="F55" i="9"/>
  <c r="I42" i="8"/>
  <c r="G42" i="8"/>
  <c r="H113" i="8" l="1"/>
  <c r="H27" i="8" l="1"/>
  <c r="I27" i="8"/>
  <c r="G27" i="8"/>
  <c r="F37" i="9"/>
  <c r="H37" i="9"/>
  <c r="G37" i="9"/>
  <c r="D49" i="9" l="1"/>
  <c r="D48" i="9" s="1"/>
  <c r="H48" i="9"/>
  <c r="H47" i="9" s="1"/>
  <c r="G48" i="9"/>
  <c r="G47" i="9" s="1"/>
  <c r="F48" i="9"/>
  <c r="F47" i="9" s="1"/>
  <c r="I35" i="8"/>
  <c r="H35" i="8"/>
  <c r="G35" i="8"/>
  <c r="D47" i="9" l="1"/>
  <c r="D34" i="9" l="1"/>
  <c r="E36" i="11" l="1"/>
  <c r="E35" i="11" s="1"/>
  <c r="G24" i="9" l="1"/>
  <c r="H24" i="9"/>
  <c r="F69" i="9"/>
  <c r="F68" i="9" s="1"/>
  <c r="H68" i="9"/>
  <c r="G68" i="9"/>
  <c r="F43" i="9"/>
  <c r="H43" i="9"/>
  <c r="G43" i="9"/>
  <c r="H109" i="9" l="1"/>
  <c r="G109" i="9"/>
  <c r="E38" i="11"/>
  <c r="I96" i="8"/>
  <c r="H96" i="8"/>
  <c r="G96" i="8"/>
  <c r="F109" i="9" s="1"/>
  <c r="I55" i="8"/>
  <c r="H55" i="8"/>
  <c r="G55" i="8"/>
  <c r="G137" i="9" l="1"/>
  <c r="H137" i="9"/>
  <c r="G133" i="9"/>
  <c r="G132" i="9" s="1"/>
  <c r="H133" i="9"/>
  <c r="H132" i="9" s="1"/>
  <c r="G129" i="9"/>
  <c r="H129" i="9"/>
  <c r="G127" i="9"/>
  <c r="H127" i="9"/>
  <c r="G121" i="9"/>
  <c r="G120" i="9" s="1"/>
  <c r="H121" i="9"/>
  <c r="H120" i="9" s="1"/>
  <c r="G117" i="9"/>
  <c r="H117" i="9"/>
  <c r="G115" i="9"/>
  <c r="H115" i="9"/>
  <c r="G113" i="9"/>
  <c r="H113" i="9"/>
  <c r="G107" i="9"/>
  <c r="H107" i="9"/>
  <c r="G105" i="9"/>
  <c r="H105" i="9"/>
  <c r="G101" i="9"/>
  <c r="H101" i="9"/>
  <c r="G99" i="9"/>
  <c r="H99" i="9"/>
  <c r="G96" i="9"/>
  <c r="G95" i="9" s="1"/>
  <c r="H96" i="9"/>
  <c r="H95" i="9" s="1"/>
  <c r="G92" i="9"/>
  <c r="G90" i="9" s="1"/>
  <c r="H92" i="9"/>
  <c r="H90" i="9" s="1"/>
  <c r="G82" i="9"/>
  <c r="H82" i="9"/>
  <c r="G80" i="9"/>
  <c r="H80" i="9"/>
  <c r="G78" i="9"/>
  <c r="H78" i="9"/>
  <c r="G76" i="9"/>
  <c r="H76" i="9"/>
  <c r="G74" i="9"/>
  <c r="H74" i="9"/>
  <c r="G72" i="9"/>
  <c r="H72" i="9"/>
  <c r="G66" i="9"/>
  <c r="G61" i="9" s="1"/>
  <c r="H66" i="9"/>
  <c r="H61" i="9" s="1"/>
  <c r="G59" i="9"/>
  <c r="G58" i="9" s="1"/>
  <c r="G57" i="9" s="1"/>
  <c r="H59" i="9"/>
  <c r="H58" i="9" s="1"/>
  <c r="H57" i="9" s="1"/>
  <c r="H103" i="9"/>
  <c r="G103" i="9"/>
  <c r="G45" i="9"/>
  <c r="H45" i="9"/>
  <c r="G39" i="9"/>
  <c r="H39" i="9"/>
  <c r="G34" i="9"/>
  <c r="G33" i="9" s="1"/>
  <c r="H34" i="9"/>
  <c r="H33" i="9" s="1"/>
  <c r="G30" i="9"/>
  <c r="H30" i="9"/>
  <c r="G26" i="9"/>
  <c r="H26" i="9"/>
  <c r="G19" i="9"/>
  <c r="G15" i="9"/>
  <c r="H15" i="9"/>
  <c r="G12" i="9"/>
  <c r="H12" i="9"/>
  <c r="H148" i="8"/>
  <c r="H147" i="8" s="1"/>
  <c r="I148" i="8"/>
  <c r="I147" i="8" s="1"/>
  <c r="H144" i="8"/>
  <c r="I144" i="8"/>
  <c r="H142" i="8"/>
  <c r="I142" i="8"/>
  <c r="I137" i="8"/>
  <c r="H133" i="8"/>
  <c r="I133" i="8"/>
  <c r="H130" i="8"/>
  <c r="H129" i="8" s="1"/>
  <c r="I130" i="8"/>
  <c r="I129" i="8" s="1"/>
  <c r="H120" i="8"/>
  <c r="H119" i="8" s="1"/>
  <c r="H118" i="8" s="1"/>
  <c r="I120" i="8"/>
  <c r="I119" i="8" s="1"/>
  <c r="I118" i="8" s="1"/>
  <c r="I116" i="8"/>
  <c r="I114" i="8"/>
  <c r="H107" i="8"/>
  <c r="H106" i="8" s="1"/>
  <c r="I107" i="8"/>
  <c r="H104" i="8"/>
  <c r="I104" i="8"/>
  <c r="H102" i="8"/>
  <c r="I102" i="8"/>
  <c r="H100" i="8"/>
  <c r="I100" i="8"/>
  <c r="H94" i="8"/>
  <c r="I94" i="8"/>
  <c r="H92" i="8"/>
  <c r="I92" i="8"/>
  <c r="H88" i="8"/>
  <c r="I88" i="8"/>
  <c r="H86" i="8"/>
  <c r="I86" i="8"/>
  <c r="H83" i="8"/>
  <c r="H82" i="8" s="1"/>
  <c r="I83" i="8"/>
  <c r="I82" i="8" s="1"/>
  <c r="H79" i="8"/>
  <c r="H77" i="8" s="1"/>
  <c r="I79" i="8"/>
  <c r="I77" i="8" s="1"/>
  <c r="H71" i="8"/>
  <c r="H69" i="8"/>
  <c r="I69" i="8"/>
  <c r="H67" i="8"/>
  <c r="I67" i="8"/>
  <c r="H65" i="8"/>
  <c r="I65" i="8"/>
  <c r="H63" i="8"/>
  <c r="I63" i="8"/>
  <c r="H61" i="8"/>
  <c r="I61" i="8"/>
  <c r="H59" i="8"/>
  <c r="I59" i="8"/>
  <c r="H53" i="8"/>
  <c r="H52" i="8" s="1"/>
  <c r="H48" i="8" s="1"/>
  <c r="I53" i="8"/>
  <c r="I52" i="8" s="1"/>
  <c r="I48" i="8" s="1"/>
  <c r="H46" i="8"/>
  <c r="H45" i="8" s="1"/>
  <c r="H44" i="8" s="1"/>
  <c r="I46" i="8"/>
  <c r="I45" i="8" s="1"/>
  <c r="I44" i="8" s="1"/>
  <c r="H90" i="8"/>
  <c r="I90" i="8"/>
  <c r="I33" i="8"/>
  <c r="I26" i="8" s="1"/>
  <c r="H24" i="8"/>
  <c r="H23" i="8" s="1"/>
  <c r="I24" i="8"/>
  <c r="I23" i="8" s="1"/>
  <c r="H20" i="8"/>
  <c r="I20" i="8"/>
  <c r="H16" i="8"/>
  <c r="I16" i="8"/>
  <c r="H14" i="8"/>
  <c r="I14" i="8"/>
  <c r="F20" i="11"/>
  <c r="F19" i="11" s="1"/>
  <c r="G20" i="11"/>
  <c r="G19" i="11" s="1"/>
  <c r="F12" i="11"/>
  <c r="F11" i="11" s="1"/>
  <c r="G12" i="11"/>
  <c r="G11" i="11" s="1"/>
  <c r="G10" i="11" s="1"/>
  <c r="F10" i="11" l="1"/>
  <c r="H58" i="8"/>
  <c r="H57" i="8" s="1"/>
  <c r="H36" i="9"/>
  <c r="G36" i="9"/>
  <c r="H11" i="9"/>
  <c r="G131" i="9"/>
  <c r="H131" i="9"/>
  <c r="G11" i="9"/>
  <c r="I99" i="8"/>
  <c r="I113" i="8"/>
  <c r="I106" i="8" s="1"/>
  <c r="H23" i="9"/>
  <c r="G23" i="9"/>
  <c r="I58" i="8"/>
  <c r="I57" i="8" s="1"/>
  <c r="H13" i="8"/>
  <c r="I13" i="8"/>
  <c r="H99" i="8"/>
  <c r="H146" i="8"/>
  <c r="G135" i="9" s="1"/>
  <c r="G136" i="9"/>
  <c r="I146" i="8"/>
  <c r="H135" i="9" s="1"/>
  <c r="H136" i="9"/>
  <c r="G71" i="9"/>
  <c r="H71" i="9"/>
  <c r="H141" i="8"/>
  <c r="I141" i="8"/>
  <c r="G98" i="9"/>
  <c r="I85" i="8"/>
  <c r="I81" i="8" s="1"/>
  <c r="H85" i="8"/>
  <c r="H81" i="8" s="1"/>
  <c r="H98" i="9"/>
  <c r="H65" i="9"/>
  <c r="G65" i="9"/>
  <c r="H14" i="9"/>
  <c r="G14" i="9"/>
  <c r="I132" i="8"/>
  <c r="H132" i="8"/>
  <c r="G91" i="9"/>
  <c r="H91" i="9"/>
  <c r="H78" i="8"/>
  <c r="I78" i="8"/>
  <c r="F41" i="11"/>
  <c r="G41" i="11"/>
  <c r="F45" i="11"/>
  <c r="G45" i="11"/>
  <c r="H94" i="9" l="1"/>
  <c r="H98" i="8"/>
  <c r="G111" i="9" s="1"/>
  <c r="G112" i="9"/>
  <c r="I98" i="8"/>
  <c r="H111" i="9" s="1"/>
  <c r="H112" i="9"/>
  <c r="G94" i="9"/>
  <c r="H70" i="9"/>
  <c r="G70" i="9"/>
  <c r="I12" i="8"/>
  <c r="G126" i="9"/>
  <c r="H126" i="9"/>
  <c r="I128" i="8"/>
  <c r="I127" i="8" s="1"/>
  <c r="H10" i="9"/>
  <c r="G10" i="9"/>
  <c r="H128" i="8"/>
  <c r="H127" i="8" s="1"/>
  <c r="G40" i="11"/>
  <c r="F40" i="11"/>
  <c r="F34" i="11" l="1"/>
  <c r="F33" i="11" s="1"/>
  <c r="F49" i="11" s="1"/>
  <c r="D26" i="10" s="1"/>
  <c r="G34" i="11"/>
  <c r="G33" i="11" s="1"/>
  <c r="G49" i="11" s="1"/>
  <c r="E26" i="10" s="1"/>
  <c r="G119" i="9"/>
  <c r="G142" i="9" s="1"/>
  <c r="H119" i="9"/>
  <c r="H142" i="9" s="1"/>
  <c r="I11" i="8"/>
  <c r="I150" i="8" l="1"/>
  <c r="E25" i="10"/>
  <c r="E24" i="10" s="1"/>
  <c r="E23" i="10" s="1"/>
  <c r="D25" i="10"/>
  <c r="D24" i="10" s="1"/>
  <c r="D23" i="10" s="1"/>
  <c r="E30" i="10" l="1"/>
  <c r="E29" i="10" s="1"/>
  <c r="E28" i="10" s="1"/>
  <c r="E27" i="10" s="1"/>
  <c r="I153" i="8"/>
  <c r="I155" i="8" s="1"/>
  <c r="E45" i="11"/>
  <c r="E41" i="11"/>
  <c r="E20" i="11"/>
  <c r="E19" i="11" s="1"/>
  <c r="E12" i="11"/>
  <c r="E11" i="11" s="1"/>
  <c r="E22" i="10" l="1"/>
  <c r="E11" i="10" s="1"/>
  <c r="E10" i="11"/>
  <c r="E40" i="11"/>
  <c r="E34" i="11" s="1"/>
  <c r="E33" i="11" l="1"/>
  <c r="E49" i="11" s="1"/>
  <c r="C26" i="10" s="1"/>
  <c r="G83" i="8" l="1"/>
  <c r="G33" i="8" l="1"/>
  <c r="G26" i="8" s="1"/>
  <c r="G142" i="8"/>
  <c r="F39" i="9" l="1"/>
  <c r="C25" i="10" l="1"/>
  <c r="C24" i="10" s="1"/>
  <c r="C23" i="10" s="1"/>
  <c r="F108" i="9" l="1"/>
  <c r="F107" i="9" s="1"/>
  <c r="F106" i="9"/>
  <c r="F105" i="9" s="1"/>
  <c r="F102" i="9"/>
  <c r="F101" i="9" s="1"/>
  <c r="F99" i="9"/>
  <c r="F97" i="9"/>
  <c r="F96" i="9" s="1"/>
  <c r="F95" i="9" s="1"/>
  <c r="F93" i="9"/>
  <c r="F92" i="9" s="1"/>
  <c r="F83" i="9"/>
  <c r="F82" i="9" s="1"/>
  <c r="F81" i="9"/>
  <c r="F80" i="9" s="1"/>
  <c r="F79" i="9"/>
  <c r="F78" i="9" s="1"/>
  <c r="F77" i="9"/>
  <c r="F76" i="9" s="1"/>
  <c r="F75" i="9"/>
  <c r="F74" i="9" s="1"/>
  <c r="F73" i="9"/>
  <c r="F72" i="9" s="1"/>
  <c r="F67" i="9"/>
  <c r="F66" i="9" s="1"/>
  <c r="F61" i="9" s="1"/>
  <c r="F60" i="9"/>
  <c r="F59" i="9" s="1"/>
  <c r="F58" i="9" s="1"/>
  <c r="F57" i="9" s="1"/>
  <c r="F104" i="9"/>
  <c r="F103" i="9" s="1"/>
  <c r="F51" i="9"/>
  <c r="F50" i="9" s="1"/>
  <c r="F45" i="9"/>
  <c r="F35" i="9"/>
  <c r="F34" i="9" s="1"/>
  <c r="F33" i="9" s="1"/>
  <c r="F32" i="9"/>
  <c r="F31" i="9"/>
  <c r="F29" i="9"/>
  <c r="F27" i="9"/>
  <c r="F25" i="9"/>
  <c r="F24" i="9" s="1"/>
  <c r="F22" i="9"/>
  <c r="F20" i="9"/>
  <c r="F18" i="9"/>
  <c r="F17" i="9" s="1"/>
  <c r="F16" i="9"/>
  <c r="F15" i="9" s="1"/>
  <c r="F13" i="9"/>
  <c r="F12" i="9" s="1"/>
  <c r="D137" i="9"/>
  <c r="D129" i="9"/>
  <c r="D127" i="9"/>
  <c r="D121" i="9"/>
  <c r="D117" i="9"/>
  <c r="D113" i="9"/>
  <c r="D107" i="9"/>
  <c r="D105" i="9"/>
  <c r="D102" i="9"/>
  <c r="D101" i="9"/>
  <c r="D99" i="9"/>
  <c r="D92" i="9"/>
  <c r="D76" i="9"/>
  <c r="D73" i="9"/>
  <c r="D72" i="9"/>
  <c r="D66" i="9"/>
  <c r="D59" i="9"/>
  <c r="D103" i="9"/>
  <c r="D50" i="9"/>
  <c r="D45" i="9"/>
  <c r="D30" i="9"/>
  <c r="D26" i="9"/>
  <c r="D24" i="9"/>
  <c r="D19" i="9"/>
  <c r="D17" i="9"/>
  <c r="D15" i="9"/>
  <c r="D13" i="9"/>
  <c r="D12" i="9"/>
  <c r="F36" i="9" l="1"/>
  <c r="F11" i="9"/>
  <c r="F71" i="9"/>
  <c r="F65" i="9"/>
  <c r="F98" i="9"/>
  <c r="F26" i="9"/>
  <c r="F30" i="9"/>
  <c r="F19" i="9"/>
  <c r="F14" i="9" s="1"/>
  <c r="F91" i="9"/>
  <c r="F90" i="9"/>
  <c r="F94" i="9" l="1"/>
  <c r="F70" i="9"/>
  <c r="F23" i="9"/>
  <c r="G102" i="8"/>
  <c r="F115" i="9" s="1"/>
  <c r="G120" i="8"/>
  <c r="F10" i="9" l="1"/>
  <c r="G119" i="8"/>
  <c r="G118" i="8" s="1"/>
  <c r="F133" i="9"/>
  <c r="G147" i="8"/>
  <c r="G144" i="8"/>
  <c r="G141" i="8" s="1"/>
  <c r="G137" i="8"/>
  <c r="G133" i="8"/>
  <c r="G129" i="8"/>
  <c r="G116" i="8"/>
  <c r="F129" i="9" s="1"/>
  <c r="G114" i="8"/>
  <c r="G104" i="8"/>
  <c r="F117" i="9" s="1"/>
  <c r="G100" i="8"/>
  <c r="G94" i="8"/>
  <c r="G92" i="8"/>
  <c r="G88" i="8"/>
  <c r="G86" i="8"/>
  <c r="G82" i="8"/>
  <c r="G79" i="8"/>
  <c r="G78" i="8" s="1"/>
  <c r="G69" i="8"/>
  <c r="G67" i="8"/>
  <c r="G63" i="8"/>
  <c r="G61" i="8"/>
  <c r="G59" i="8"/>
  <c r="G53" i="8"/>
  <c r="G52" i="8" s="1"/>
  <c r="G48" i="8" s="1"/>
  <c r="G46" i="8"/>
  <c r="G45" i="8" s="1"/>
  <c r="G44" i="8" s="1"/>
  <c r="G24" i="8"/>
  <c r="G23" i="8" s="1"/>
  <c r="G12" i="8" s="1"/>
  <c r="G132" i="8" l="1"/>
  <c r="G128" i="8" s="1"/>
  <c r="G58" i="8"/>
  <c r="G57" i="8" s="1"/>
  <c r="F127" i="9"/>
  <c r="G113" i="8"/>
  <c r="F126" i="9" s="1"/>
  <c r="F113" i="9"/>
  <c r="G99" i="8"/>
  <c r="F112" i="9" s="1"/>
  <c r="G146" i="8"/>
  <c r="F135" i="9" s="1"/>
  <c r="F136" i="9"/>
  <c r="F131" i="9"/>
  <c r="F132" i="9"/>
  <c r="G85" i="8"/>
  <c r="G81" i="8" s="1"/>
  <c r="G77" i="8"/>
  <c r="G127" i="8" l="1"/>
  <c r="G98" i="8"/>
  <c r="F111" i="9" s="1"/>
  <c r="G107" i="8" l="1"/>
  <c r="G106" i="8" s="1"/>
  <c r="F121" i="9"/>
  <c r="F120" i="9" l="1"/>
  <c r="F119" i="9" l="1"/>
  <c r="F142" i="9" s="1"/>
  <c r="F146" i="9" s="1"/>
  <c r="G11" i="8"/>
  <c r="G150" i="8" s="1"/>
  <c r="H26" i="8"/>
  <c r="C30" i="10" l="1"/>
  <c r="H12" i="8"/>
  <c r="C29" i="10" l="1"/>
  <c r="C28" i="10" s="1"/>
  <c r="C22" i="10" s="1"/>
  <c r="C11" i="10" s="1"/>
  <c r="H11" i="8"/>
  <c r="H150" i="8" l="1"/>
  <c r="C27" i="10"/>
  <c r="D30" i="10" l="1"/>
  <c r="D29" i="10" s="1"/>
  <c r="D28" i="10" s="1"/>
  <c r="D22" i="10" s="1"/>
  <c r="D11" i="10" s="1"/>
  <c r="H153" i="8"/>
  <c r="H155" i="8" s="1"/>
  <c r="D27" i="10" l="1"/>
</calcChain>
</file>

<file path=xl/sharedStrings.xml><?xml version="1.0" encoding="utf-8"?>
<sst xmlns="http://schemas.openxmlformats.org/spreadsheetml/2006/main" count="1527" uniqueCount="586">
  <si>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</si>
  <si>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</si>
  <si>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</si>
  <si>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</si>
  <si>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</si>
  <si>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</si>
  <si>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</si>
  <si>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</si>
  <si>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</si>
  <si>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</si>
  <si>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</si>
  <si>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</si>
  <si>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</si>
  <si>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</si>
  <si>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</si>
  <si>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</si>
  <si>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</si>
  <si>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</si>
  <si>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</si>
  <si>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</si>
  <si>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</si>
  <si>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</si>
  <si>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</si>
  <si>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</si>
  <si>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</si>
  <si>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</si>
  <si>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</si>
  <si>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</si>
  <si>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</si>
  <si>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</si>
  <si>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</si>
  <si>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</si>
  <si>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</si>
  <si>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</si>
  <si>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</si>
  <si>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</si>
  <si>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</si>
  <si>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</si>
  <si>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</si>
  <si>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</si>
  <si>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</si>
  <si>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</si>
  <si>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</si>
  <si>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</si>
  <si>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</si>
  <si>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</si>
  <si>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</si>
  <si>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</si>
  <si>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</si>
  <si>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</si>
  <si>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</si>
  <si>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</si>
  <si>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</si>
  <si>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</si>
  <si>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</si>
  <si>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</si>
  <si>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</si>
  <si>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</si>
  <si>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</si>
  <si>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</si>
  <si>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</si>
  <si>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</si>
  <si>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</si>
  <si>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</si>
  <si>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</si>
  <si>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</si>
  <si>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</si>
  <si>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</si>
  <si>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</si>
  <si>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>79508 00520</t>
  </si>
  <si>
    <t>НАЦИОНАЛЬНАЯ БЕЗОПАСНОСТЬ И ПРАВООХРАНИТЕЛЬНАЯ ДЕЯТЕЛЬНОСТЬ</t>
  </si>
  <si>
    <t>0300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</si>
  <si>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</si>
  <si>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</si>
  <si>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</si>
  <si>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</si>
  <si>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</si>
  <si>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</si>
  <si>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</si>
  <si>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</si>
  <si>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</si>
  <si>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</si>
  <si>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</si>
  <si>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</si>
  <si>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60001 00132</t>
  </si>
  <si>
    <t>60003 00151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</si>
  <si>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</si>
  <si>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</si>
  <si>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</si>
  <si>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</si>
  <si>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</si>
  <si>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</si>
  <si>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</si>
  <si>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</si>
  <si>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</si>
  <si>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</si>
  <si>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</si>
  <si>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</si>
  <si>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</si>
  <si>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79505 00190</t>
  </si>
  <si>
    <t>ДРУГИЕ ВОПРОСЫ В ОБЛАСТИ ОБРАЗОВАНИЯ</t>
  </si>
  <si>
    <t>0709</t>
  </si>
  <si>
    <t>79506 00510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</si>
  <si>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</si>
  <si>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</si>
  <si>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</si>
  <si>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</si>
  <si>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</si>
  <si>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</si>
  <si>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 xml:space="preserve">0801 </t>
  </si>
  <si>
    <t>45011 00200</t>
  </si>
  <si>
    <t>45009 00560</t>
  </si>
  <si>
    <t>СОЦИАЛЬНАЯ ПОЛИТИКА</t>
  </si>
  <si>
    <t>1000</t>
  </si>
  <si>
    <t>50581 00230</t>
  </si>
  <si>
    <t>Социальное обеспечение и иные выплаты населению</t>
  </si>
  <si>
    <t>300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</si>
  <si>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</si>
  <si>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</si>
  <si>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</si>
  <si>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</si>
  <si>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</si>
  <si>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</si>
  <si>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</si>
  <si>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</si>
  <si>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</si>
  <si>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</si>
  <si>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</si>
  <si>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</si>
  <si>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</si>
  <si>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</si>
  <si>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</si>
  <si>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</si>
  <si>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</si>
  <si>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</si>
  <si>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</si>
  <si>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</si>
  <si>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</si>
  <si>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</si>
  <si>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</si>
  <si>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</si>
  <si>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</si>
  <si>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</si>
  <si>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</si>
  <si>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</si>
  <si>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</si>
  <si>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</si>
  <si>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</si>
  <si>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Физическая культура и спорт</t>
  </si>
  <si>
    <t>Массовый спорт</t>
  </si>
  <si>
    <t>7</t>
  </si>
  <si>
    <t>01</t>
  </si>
  <si>
    <t>02</t>
  </si>
  <si>
    <t>01 02</t>
  </si>
  <si>
    <t>03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</si>
  <si>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</si>
  <si>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</si>
  <si>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</si>
  <si>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</si>
  <si>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</si>
  <si>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</si>
  <si>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</si>
  <si>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</si>
  <si>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</si>
  <si>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</si>
  <si>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</si>
  <si>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</si>
  <si>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</si>
  <si>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</si>
  <si>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</si>
  <si>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</si>
  <si>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</si>
  <si>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</si>
  <si>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</si>
  <si>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</si>
  <si>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</si>
  <si>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</si>
  <si>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</si>
  <si>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</si>
  <si>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</si>
  <si>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</si>
  <si>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</si>
  <si>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</si>
  <si>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</si>
  <si>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</si>
  <si>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</si>
  <si>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</si>
  <si>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</si>
  <si>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6.3.4</t>
  </si>
  <si>
    <t>08</t>
  </si>
  <si>
    <t>7.1</t>
  </si>
  <si>
    <t>7.1.1</t>
  </si>
  <si>
    <t xml:space="preserve">08 01 </t>
  </si>
  <si>
    <t>08 01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</si>
  <si>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</si>
  <si>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</si>
  <si>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</si>
  <si>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</si>
  <si>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</si>
  <si>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</si>
  <si>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</si>
  <si>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</si>
  <si>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</si>
  <si>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</si>
  <si>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</si>
  <si>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</si>
  <si>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</si>
  <si>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</si>
  <si>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</si>
  <si>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</si>
  <si>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</si>
  <si>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</si>
  <si>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</si>
  <si>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</si>
  <si>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</si>
  <si>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</si>
  <si>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</si>
  <si>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</si>
  <si>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</si>
  <si>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</si>
  <si>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</si>
  <si>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</si>
  <si>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</si>
  <si>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</si>
  <si>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</si>
  <si>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</si>
  <si>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</si>
  <si>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</si>
  <si>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</si>
  <si>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</si>
  <si>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</si>
  <si>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</si>
  <si>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</si>
  <si>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</si>
  <si>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</si>
  <si>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</si>
  <si>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</si>
  <si>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</si>
  <si>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</si>
  <si>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</si>
  <si>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</si>
  <si>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</si>
  <si>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</si>
  <si>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</si>
  <si>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</si>
  <si>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</si>
  <si>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</si>
  <si>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</si>
  <si>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</si>
  <si>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</si>
  <si>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</si>
  <si>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</si>
  <si>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</si>
  <si>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</si>
  <si>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</si>
  <si>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</si>
  <si>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</si>
  <si>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</si>
  <si>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</si>
  <si>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</si>
  <si>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</si>
  <si>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</si>
  <si>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</si>
  <si>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</si>
  <si>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</si>
  <si>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</si>
  <si>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</si>
  <si>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</si>
  <si>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</si>
  <si>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</si>
  <si>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</si>
  <si>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</si>
  <si>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</si>
  <si>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</si>
  <si>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6,1</t>
  </si>
  <si>
    <t>6.1.1</t>
  </si>
  <si>
    <t>6.3.2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</si>
  <si>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</si>
  <si>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</si>
  <si>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</si>
  <si>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</si>
  <si>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</si>
  <si>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</si>
  <si>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</si>
  <si>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</si>
  <si>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</si>
  <si>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</si>
  <si>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>182</t>
  </si>
  <si>
    <t xml:space="preserve"> 1 16 00000 00 0000 000</t>
  </si>
  <si>
    <t>ШТРАФЫ, САНКЦИИ, ВОЗМЕЩЕНИЕ УЩЕРБА</t>
  </si>
  <si>
    <t>1.3.3.1.1</t>
  </si>
  <si>
    <t>846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</si>
  <si>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</si>
  <si>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</si>
  <si>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</si>
  <si>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</si>
  <si>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</si>
  <si>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</si>
  <si>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</si>
  <si>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</si>
  <si>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</si>
  <si>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</si>
  <si>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</si>
  <si>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</si>
  <si>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</si>
  <si>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Код источника доходов</t>
  </si>
  <si>
    <t>Код администратора</t>
  </si>
  <si>
    <t>Плановый период</t>
  </si>
  <si>
    <t>(тыс. руб.)</t>
  </si>
  <si>
    <t>Код раздела и подраздела</t>
  </si>
  <si>
    <t>34501 00101</t>
  </si>
  <si>
    <t>99999 99999</t>
  </si>
  <si>
    <t>99000 S1590</t>
  </si>
  <si>
    <t>7.1.3</t>
  </si>
  <si>
    <t>7.1.3.1</t>
  </si>
  <si>
    <t>6.3.4.1</t>
  </si>
  <si>
    <t>1001</t>
  </si>
  <si>
    <t>6.3.5</t>
  </si>
  <si>
    <t>6.3.5.1</t>
  </si>
  <si>
    <t>3.2.1.1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</si>
  <si>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</si>
  <si>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</si>
  <si>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</si>
  <si>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>79507 00180</t>
  </si>
  <si>
    <t>3.2.2</t>
  </si>
  <si>
    <t>6.2.2</t>
  </si>
  <si>
    <t>6.2.3</t>
  </si>
  <si>
    <t>6.2.4</t>
  </si>
  <si>
    <t>6.2.5</t>
  </si>
  <si>
    <t>6.2.6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</si>
  <si>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</si>
  <si>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</si>
  <si>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</si>
  <si>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</si>
  <si>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</si>
  <si>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</si>
  <si>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</si>
  <si>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</si>
  <si>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</si>
  <si>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</si>
  <si>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</si>
  <si>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</si>
  <si>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</si>
  <si>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</si>
  <si>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</si>
  <si>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</si>
  <si>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</si>
  <si>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</si>
  <si>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</si>
  <si>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</si>
  <si>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</si>
  <si>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</si>
  <si>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</si>
  <si>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</si>
  <si>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</si>
  <si>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</si>
  <si>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</si>
  <si>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</si>
  <si>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</si>
  <si>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</si>
  <si>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</si>
  <si>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</si>
  <si>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</si>
  <si>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</si>
  <si>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</si>
  <si>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</si>
  <si>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3.1</t>
  </si>
  <si>
    <t>6.2.2.1</t>
  </si>
  <si>
    <t>6.2.3.1</t>
  </si>
  <si>
    <t>6.2.4.1</t>
  </si>
  <si>
    <t>6.2.5.1</t>
  </si>
  <si>
    <t>6.2.6.1</t>
  </si>
  <si>
    <t>ПЕНСИОННОЕ ОБЕСПЕЧЕНИЕ</t>
  </si>
  <si>
    <t>1.6.6</t>
  </si>
  <si>
    <t>1.6.7</t>
  </si>
  <si>
    <t>1.3.2.2</t>
  </si>
  <si>
    <t>1.3.2.3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</si>
  <si>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</si>
  <si>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</si>
  <si>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</si>
  <si>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</si>
  <si>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</si>
  <si>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</si>
  <si>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</si>
  <si>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</si>
  <si>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</si>
  <si>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</si>
  <si>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</si>
  <si>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</si>
  <si>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</si>
  <si>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</si>
  <si>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</si>
  <si>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</si>
  <si>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</si>
  <si>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</si>
  <si>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</si>
  <si>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</si>
  <si>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</si>
  <si>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</si>
  <si>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</si>
  <si>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</si>
  <si>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</si>
  <si>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</si>
  <si>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</si>
  <si>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</si>
  <si>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</si>
  <si>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</si>
  <si>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</si>
  <si>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</si>
  <si>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</si>
  <si>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04 01</t>
  </si>
  <si>
    <t>ОБЩЕЭКОНОМИЧЕСКИЕ ВОПРОСЫ</t>
  </si>
  <si>
    <t>2022 год</t>
  </si>
  <si>
    <t>60009 00160</t>
  </si>
  <si>
    <t>4.1.9</t>
  </si>
  <si>
    <t>4.1.9.1</t>
  </si>
  <si>
    <t>ДОХОДЫ ОТ ОКАЗАНИЯ ПЛАТНЫХ УСЛУГ И КОМПЕНСАЦИИ ЗАТРАТ ГОСУДАРСТВА</t>
  </si>
  <si>
    <t>867</t>
  </si>
  <si>
    <t>1.3.5.2</t>
  </si>
  <si>
    <t>1.3.5.3</t>
  </si>
  <si>
    <t>1.3.6</t>
  </si>
  <si>
    <t>1.3.6.1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</si>
  <si>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</si>
  <si>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</si>
  <si>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 организаций  в валюте Российской Федерации</t>
  </si>
  <si>
    <t>Получение кредитов от кредитных 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</si>
  <si>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000 01 02 00 00 03 0000 700</t>
  </si>
  <si>
    <t>Погашение кредитов, предоставленных  кредитными организациями в валюте Российской Федерации</t>
  </si>
  <si>
    <t>000 01 02 00 00 00 0000 800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</si>
  <si>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 организаций кредитов от кредитных  организаций  в валюте Российской Федерации</t>
  </si>
  <si>
    <t>10.1.1.1.1</t>
  </si>
  <si>
    <t>Обслуживание  муниципального долга</t>
  </si>
  <si>
    <t>1300</t>
  </si>
  <si>
    <t>1301</t>
  </si>
  <si>
    <t>700</t>
  </si>
  <si>
    <t>730</t>
  </si>
  <si>
    <t>11.</t>
  </si>
  <si>
    <t>11.1</t>
  </si>
  <si>
    <t>11.1.1</t>
  </si>
  <si>
    <t>13 01</t>
  </si>
  <si>
    <t xml:space="preserve">13 </t>
  </si>
  <si>
    <t>1 16 02010 02 0100 140</t>
  </si>
  <si>
    <t>1 16 10123 01 0031 140</t>
  </si>
  <si>
    <t>6.3</t>
  </si>
  <si>
    <t>903 01 02 00 00 00 0000 700</t>
  </si>
  <si>
    <t>903 01 02 00 00 03 0000 810</t>
  </si>
  <si>
    <t xml:space="preserve"> 1 14 00000 00 0000 000</t>
  </si>
  <si>
    <t xml:space="preserve"> 1 14 02033 03 0000 410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</si>
  <si>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</si>
  <si>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МАТЕРИАЛЬНЫХ И НЕМАТЕРИАЛЬНЫХ АКТИВОВ
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</si>
  <si>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Санкт-Петербурга; 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 году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</si>
  <si>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</si>
  <si>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11,0</t>
  </si>
  <si>
    <t>499,2</t>
  </si>
  <si>
    <t>0,3</t>
  </si>
  <si>
    <t>10,4</t>
  </si>
  <si>
    <t>НАЛОГИ НА ПРИБЫЛЬ, ДОХОДЫ</t>
  </si>
  <si>
    <t>Налог на доходы физических лиц</t>
  </si>
  <si>
    <t>1 01 02000 01 0000 110</t>
  </si>
  <si>
    <t>1 01 00000 00 0000 000</t>
  </si>
  <si>
    <t>Общеэкономические вопросы</t>
  </si>
  <si>
    <t>Пенсионное обеспечение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</si>
  <si>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</si>
  <si>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4.1.7.2</t>
  </si>
  <si>
    <t>4.1.7.3</t>
  </si>
  <si>
    <t>60007 М2500</t>
  </si>
  <si>
    <t>60007 S2500</t>
  </si>
  <si>
    <t>60007 0000</t>
  </si>
  <si>
    <t>60007 00000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</si>
  <si>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</si>
  <si>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</si>
  <si>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</si>
  <si>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1 16 07010 03 0000 140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</si>
  <si>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</si>
  <si>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</si>
  <si>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
 </t>
  </si>
  <si>
    <t>1 16 07090 00 0000 140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</si>
  <si>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</si>
  <si>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</si>
  <si>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Платежи в целях возмещения причиненного ущерба (убытков)</t>
  </si>
  <si>
    <t xml:space="preserve"> 1 16 10000 00 0000 140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</si>
  <si>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</si>
  <si>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1 16 10030 03 0000 140</t>
  </si>
  <si>
    <t>1 16 10031 03 0000 140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</si>
  <si>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</si>
  <si>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1.3.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</si>
  <si>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</si>
  <si>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1 16 10032 03 0000 140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</si>
  <si>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</si>
  <si>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</si>
  <si>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1 16 10061 03 0000 140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</si>
  <si>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</si>
  <si>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</si>
  <si>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1 16 10081 03 0000 140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</si>
  <si>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</si>
  <si>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1.3.2.1.1</t>
  </si>
  <si>
    <t>1.3.2.2.1</t>
  </si>
  <si>
    <t>1.3.3.</t>
  </si>
  <si>
    <t>1.3.3.1.</t>
  </si>
  <si>
    <t>1.3.4.</t>
  </si>
  <si>
    <t>1.3.4.1.</t>
  </si>
  <si>
    <t>1.3.5.</t>
  </si>
  <si>
    <t>1.3.5.1.</t>
  </si>
  <si>
    <t>3,2</t>
  </si>
  <si>
    <t>5,2</t>
  </si>
  <si>
    <t>2,5</t>
  </si>
  <si>
    <t>0</t>
  </si>
  <si>
    <t xml:space="preserve">2 02 15002 03 0000 150  </t>
  </si>
  <si>
    <t xml:space="preserve">2 02 15002 00 0000 150  </t>
  </si>
  <si>
    <t>39,8</t>
  </si>
  <si>
    <t>41,4</t>
  </si>
  <si>
    <t>2022год</t>
  </si>
  <si>
    <t>2023 год</t>
  </si>
  <si>
    <t>2024 год</t>
  </si>
  <si>
    <t>Доходы местного бюджета МО Адмиралтейский округ на 2022 год  и плановый период 2023 и 2024 годов</t>
  </si>
  <si>
    <t>Ведомственная структура расходов местного бюджета МО Адмиралтейский округ на 2022 год  и плановый период 2023 и 2024 годов</t>
  </si>
  <si>
    <t>Источники финансирования дефицита местного бюджета МО Адмиралтейский округ на 2022 год  и плановый период 2023 и 2024 годов</t>
  </si>
  <si>
    <t>Распределение бюджетных ассигнований местного бюджета МО Адмиралтейский округ на 2022 год  и плановый период 2023 и 2024 годов</t>
  </si>
  <si>
    <t>000 01 03 00 00 00 0000 000</t>
  </si>
  <si>
    <t>903 01 03 00 00 00 0000 700</t>
  </si>
  <si>
    <t>000 01 03 00 00 03 0000 700</t>
  </si>
  <si>
    <t>000 01 03 00 00 00 0000 800</t>
  </si>
  <si>
    <t>Бюджетные кредиты от других
бюджетов бюджетной системы
Российской Федерации</t>
  </si>
  <si>
    <t>Привлечение бюджетных кредитов
из других бюджетов бюджетной
системы Российской Федерации в
валюте Российской Федерации</t>
  </si>
  <si>
    <t>Погашение бюджетных кредитов,
полученных из других бюджетов
бюджетной системы Российской
Федерации в валюте Российской
Федерации</t>
  </si>
  <si>
    <t>Привлечение бюджетных кредитов
из других бюджетов бюджетной</t>
  </si>
  <si>
    <t xml:space="preserve"> Закупка товаров, работ и услуг для обеспечения государственных (муниципальных) нужд</t>
  </si>
  <si>
    <t>Содержание и обеспечение деятельности  представительного органа муниципального образования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</si>
  <si>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</si>
  <si>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</si>
  <si>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 муниципального внутреннего долга</t>
  </si>
  <si>
    <t>Гражданская оборона</t>
  </si>
  <si>
    <t>Расходы  на участие в содействии развитию малого бизнеса на территории муниципального образования муниципальный округ Адмиралтейский округ "</t>
  </si>
  <si>
    <t>Расходы на осуществление защиты прав потребителей на территории муниципального образования муниципальный округ Адмиралтейский округ "</t>
  </si>
  <si>
    <t>Расходы на установка, содержание и ремонт ограждений газонов.</t>
  </si>
  <si>
    <t>Расходы на установку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образования.</t>
  </si>
  <si>
    <t>Расходы на озеленение территорий зеленых насаждений внутриквартального озеленения.</t>
  </si>
  <si>
    <t>Расходы на проведение санитарных рубок, удаление аварийных, больных деревьев и кустарников в отношении зеленых насаждений внутриквартального озеленения.</t>
  </si>
  <si>
    <t>Расходы на обустройство, содержание  и уборка территории детских площадок.</t>
  </si>
  <si>
    <t>Расходы на текущий ремонт  придомовых территорий и дворовых территорий, включая проезды и въезды, пешеходные дорожки.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</si>
  <si>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округ.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</si>
  <si>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</si>
  <si>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</si>
  <si>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Расходы по участию в организации и финансировании временного трудоустройства несовершеннолетних в возрасте от 14 до 18 лет в свободное от учебы время </t>
  </si>
  <si>
    <t>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округ.</t>
  </si>
  <si>
    <t>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</t>
  </si>
  <si>
    <t>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округ.</t>
  </si>
  <si>
    <t>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</t>
  </si>
  <si>
    <t>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</si>
  <si>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</t>
  </si>
  <si>
    <t>Организация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</si>
  <si>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</t>
  </si>
  <si>
    <t>Организация и проведение досуговых мероприятий для жителей муниципального образования муниципальный округ Адмиралтейский округ</t>
  </si>
  <si>
    <t>1003</t>
  </si>
  <si>
    <t xml:space="preserve">Социальное обеспечение </t>
  </si>
  <si>
    <t>Расходы по назначению, выплате, перерасчету доплат к пенсии
 лицам, замещавшим муниципальные должности и должности муниципальной службы
муниципальной службы в органах местного 
самоуправления, муниципальных органах 
муниципальных образований</t>
  </si>
  <si>
    <t>8.3.1</t>
  </si>
  <si>
    <t>8.3.2.1</t>
  </si>
  <si>
    <t>8.3.2</t>
  </si>
  <si>
    <t>8.3.1.1</t>
  </si>
  <si>
    <t>8.3</t>
  </si>
  <si>
    <t>Участие в мероприятиях по охране окружающей среды в границах  муниципального образования муниципальный округ Адмиралтейский округ</t>
  </si>
  <si>
    <t>Охрана семьи и детсва</t>
  </si>
  <si>
    <t xml:space="preserve">Расходы связанные с мероприятиями по противодействию коррупции в органах местного самоуправления МО Адмиралтейский округ </t>
  </si>
  <si>
    <t>09202 00072</t>
  </si>
  <si>
    <t xml:space="preserve">Исполнение судебных актов РФ и мировых соглашений </t>
  </si>
  <si>
    <t>10 03</t>
  </si>
  <si>
    <t>СОЦИАЛЬНОЕ ОБЕСПЕЧЕНИЕ</t>
  </si>
  <si>
    <t>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</si>
  <si>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09200 00072</t>
  </si>
  <si>
    <t>Резервные фонды местной администрации</t>
  </si>
  <si>
    <t xml:space="preserve">Расходы  на участие в содействии развитию малого бизнеса на территории муниципального образования муниципальный округ Адмиралтейский округ </t>
  </si>
  <si>
    <t xml:space="preserve">Расходы по назначению, выплате, перерасчету доплаты к пенсии  лицам, замещавшим должности муниципальной службы в органах местного самоуправления, муниципальных органах муниципальных образований, </t>
  </si>
  <si>
    <t>1.3.5.4</t>
  </si>
  <si>
    <t xml:space="preserve">Пособия, компенсации и иные социальные выплаты гражданам </t>
  </si>
  <si>
    <t>1.6.7.4</t>
  </si>
  <si>
    <t>0,0</t>
  </si>
  <si>
    <t>Расходы на организацию работ по  озеленению многолетниками.</t>
  </si>
  <si>
    <t>Расходы на организацию работ по озеленению многолетниками.</t>
  </si>
  <si>
    <t xml:space="preserve">плюс </t>
  </si>
  <si>
    <t xml:space="preserve">минус </t>
  </si>
  <si>
    <t>плюс</t>
  </si>
  <si>
    <t>минус</t>
  </si>
  <si>
    <t>плюс 750</t>
  </si>
  <si>
    <t>от 17.10.2022 №19</t>
  </si>
  <si>
    <t>от 17 октября 2022 года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</si>
</sst>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00000"/>
    <numFmt numFmtId="166" formatCode="0.0"/>
    <numFmt numFmtId="167" formatCode="_(* #,##0.00_);_(* \(#,##0.0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9" fillId="0" borderId="0"/>
    <xf numFmtId="43" fontId="41" fillId="0" borderId="0" applyFont="0" applyFill="0" applyBorder="0" applyAlignment="0" applyProtection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0" fontId="1" fillId="0" borderId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</cellStyleXfs>
  <cellXfs count="325">
    <xf numFmtId="0" fontId="0" fillId="0" borderId="0" xfId="0"/>
    <xf numFmtId="0" fontId="8" fillId="0" borderId="0" xfId="1"/>
    <xf numFmtId="0" fontId="18" fillId="0" borderId="0" xfId="0" applyFont="1"/>
    <xf numFmtId="0" fontId="0" fillId="0" borderId="0" xfId="0" applyBorder="1"/>
    <xf numFmtId="49" fontId="8" fillId="0" borderId="0" xfId="1" applyNumberFormat="1" applyAlignment="1">
      <alignment wrapText="1"/>
    </xf>
    <xf numFmtId="0" fontId="9" fillId="0" borderId="0" xfId="1" applyFont="1" applyFill="1" applyAlignment="1"/>
    <xf numFmtId="0" fontId="9" fillId="0" borderId="0" xfId="1" applyFont="1" applyFill="1" applyAlignment="1">
      <alignment horizontal="right"/>
    </xf>
    <xf numFmtId="49" fontId="9" fillId="0" borderId="0" xfId="1" applyNumberFormat="1" applyFont="1" applyFill="1" applyAlignment="1">
      <alignment horizontal="center" wrapText="1"/>
    </xf>
    <xf numFmtId="49" fontId="10" fillId="0" borderId="0" xfId="1" applyNumberFormat="1" applyFont="1" applyFill="1" applyAlignment="1">
      <alignment wrapText="1"/>
    </xf>
    <xf numFmtId="49" fontId="10" fillId="0" borderId="0" xfId="1" applyNumberFormat="1" applyFont="1" applyFill="1" applyAlignment="1">
      <alignment horizontal="center"/>
    </xf>
    <xf numFmtId="0" fontId="0" fillId="0" borderId="0" xfId="0" applyFill="1"/>
    <xf numFmtId="49" fontId="20" fillId="0" borderId="3" xfId="1" applyNumberFormat="1" applyFont="1" applyFill="1" applyBorder="1" applyAlignment="1">
      <alignment horizontal="center" wrapText="1"/>
    </xf>
    <xf numFmtId="0" fontId="21" fillId="0" borderId="4" xfId="1" applyFont="1" applyFill="1" applyBorder="1" applyAlignment="1">
      <alignment horizontal="center" wrapText="1"/>
    </xf>
    <xf numFmtId="49" fontId="21" fillId="0" borderId="3" xfId="1" applyNumberFormat="1" applyFont="1" applyFill="1" applyBorder="1" applyAlignment="1">
      <alignment horizontal="center" wrapText="1"/>
    </xf>
    <xf numFmtId="49" fontId="21" fillId="0" borderId="1" xfId="1" applyNumberFormat="1" applyFont="1" applyFill="1" applyBorder="1" applyAlignment="1">
      <alignment horizontal="center" wrapText="1"/>
    </xf>
    <xf numFmtId="49" fontId="11" fillId="0" borderId="1" xfId="1" applyNumberFormat="1" applyFont="1" applyFill="1" applyBorder="1" applyAlignment="1">
      <alignment horizontal="left" wrapText="1"/>
    </xf>
    <xf numFmtId="49" fontId="11" fillId="0" borderId="1" xfId="1" applyNumberFormat="1" applyFont="1" applyFill="1" applyBorder="1" applyAlignment="1">
      <alignment horizontal="center" wrapText="1"/>
    </xf>
    <xf numFmtId="49" fontId="11" fillId="0" borderId="2" xfId="1" applyNumberFormat="1" applyFont="1" applyFill="1" applyBorder="1" applyAlignment="1">
      <alignment wrapText="1"/>
    </xf>
    <xf numFmtId="49" fontId="11" fillId="0" borderId="2" xfId="1" applyNumberFormat="1" applyFont="1" applyFill="1" applyBorder="1" applyAlignment="1">
      <alignment horizontal="left" wrapText="1"/>
    </xf>
    <xf numFmtId="49" fontId="11" fillId="0" borderId="2" xfId="1" applyNumberFormat="1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wrapText="1"/>
    </xf>
    <xf numFmtId="49" fontId="21" fillId="0" borderId="2" xfId="1" applyNumberFormat="1" applyFont="1" applyFill="1" applyBorder="1" applyAlignment="1">
      <alignment horizontal="center" wrapText="1"/>
    </xf>
    <xf numFmtId="49" fontId="21" fillId="0" borderId="5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5" fillId="0" borderId="3" xfId="24" applyFont="1" applyFill="1" applyBorder="1" applyAlignment="1">
      <alignment wrapText="1"/>
    </xf>
    <xf numFmtId="0" fontId="8" fillId="0" borderId="0" xfId="1" applyFill="1"/>
    <xf numFmtId="0" fontId="8" fillId="0" borderId="0" xfId="1" applyFont="1"/>
    <xf numFmtId="49" fontId="21" fillId="4" borderId="3" xfId="1" applyNumberFormat="1" applyFont="1" applyFill="1" applyBorder="1"/>
    <xf numFmtId="49" fontId="21" fillId="4" borderId="3" xfId="1" applyNumberFormat="1" applyFont="1" applyFill="1" applyBorder="1" applyAlignment="1">
      <alignment wrapText="1"/>
    </xf>
    <xf numFmtId="49" fontId="21" fillId="4" borderId="3" xfId="1" applyNumberFormat="1" applyFont="1" applyFill="1" applyBorder="1" applyAlignment="1">
      <alignment horizontal="center"/>
    </xf>
    <xf numFmtId="0" fontId="21" fillId="4" borderId="3" xfId="1" applyNumberFormat="1" applyFont="1" applyFill="1" applyBorder="1" applyAlignment="1">
      <alignment horizontal="center"/>
    </xf>
    <xf numFmtId="49" fontId="9" fillId="0" borderId="0" xfId="1" applyNumberFormat="1" applyFont="1"/>
    <xf numFmtId="0" fontId="11" fillId="0" borderId="1" xfId="1" applyNumberFormat="1" applyFont="1" applyFill="1" applyBorder="1" applyAlignment="1">
      <alignment horizontal="center" wrapText="1"/>
    </xf>
    <xf numFmtId="0" fontId="11" fillId="0" borderId="5" xfId="1" applyNumberFormat="1" applyFont="1" applyFill="1" applyBorder="1" applyAlignment="1">
      <alignment horizontal="center" wrapText="1"/>
    </xf>
    <xf numFmtId="0" fontId="26" fillId="0" borderId="0" xfId="1" applyFont="1"/>
    <xf numFmtId="11" fontId="8" fillId="0" borderId="0" xfId="1" applyNumberFormat="1"/>
    <xf numFmtId="0" fontId="28" fillId="0" borderId="0" xfId="0" applyFont="1" applyFill="1"/>
    <xf numFmtId="0" fontId="0" fillId="0" borderId="0" xfId="0" applyFill="1" applyBorder="1"/>
    <xf numFmtId="0" fontId="13" fillId="0" borderId="0" xfId="0" applyFont="1"/>
    <xf numFmtId="0" fontId="31" fillId="0" borderId="0" xfId="0" applyFont="1"/>
    <xf numFmtId="0" fontId="13" fillId="0" borderId="0" xfId="0" applyFont="1" applyAlignment="1">
      <alignment wrapText="1"/>
    </xf>
    <xf numFmtId="2" fontId="13" fillId="0" borderId="0" xfId="0" applyNumberFormat="1" applyFont="1"/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/>
    <xf numFmtId="49" fontId="11" fillId="0" borderId="3" xfId="1" applyNumberFormat="1" applyFont="1" applyFill="1" applyBorder="1" applyAlignment="1">
      <alignment horizontal="center"/>
    </xf>
    <xf numFmtId="164" fontId="13" fillId="0" borderId="3" xfId="0" applyNumberFormat="1" applyFont="1" applyBorder="1"/>
    <xf numFmtId="0" fontId="30" fillId="0" borderId="0" xfId="0" applyFont="1" applyAlignment="1">
      <alignment horizontal="right"/>
    </xf>
    <xf numFmtId="0" fontId="10" fillId="0" borderId="0" xfId="1" applyFont="1"/>
    <xf numFmtId="0" fontId="33" fillId="0" borderId="0" xfId="48" applyFont="1" applyFill="1"/>
    <xf numFmtId="0" fontId="9" fillId="2" borderId="3" xfId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34" fillId="5" borderId="0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left" vertical="center" wrapText="1"/>
    </xf>
    <xf numFmtId="4" fontId="0" fillId="0" borderId="0" xfId="0" applyNumberFormat="1" applyBorder="1"/>
    <xf numFmtId="164" fontId="0" fillId="0" borderId="0" xfId="0" applyNumberFormat="1" applyBorder="1"/>
    <xf numFmtId="49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1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9" fillId="2" borderId="3" xfId="1" applyFont="1" applyFill="1" applyBorder="1" applyAlignment="1">
      <alignment vertical="center" wrapText="1"/>
    </xf>
    <xf numFmtId="0" fontId="11" fillId="2" borderId="3" xfId="1" applyFont="1" applyFill="1" applyBorder="1" applyAlignment="1">
      <alignment vertical="center" wrapText="1"/>
    </xf>
    <xf numFmtId="0" fontId="11" fillId="2" borderId="3" xfId="48" applyNumberFormat="1" applyFont="1" applyFill="1" applyBorder="1" applyAlignment="1">
      <alignment vertical="center" wrapText="1"/>
    </xf>
    <xf numFmtId="0" fontId="13" fillId="0" borderId="0" xfId="48" applyFont="1" applyAlignment="1">
      <alignment vertical="center"/>
    </xf>
    <xf numFmtId="164" fontId="8" fillId="0" borderId="0" xfId="1" applyNumberFormat="1" applyFont="1" applyFill="1" applyAlignment="1">
      <alignment horizontal="center"/>
    </xf>
    <xf numFmtId="164" fontId="0" fillId="0" borderId="0" xfId="0" applyNumberFormat="1"/>
    <xf numFmtId="0" fontId="35" fillId="0" borderId="0" xfId="1" applyFont="1"/>
    <xf numFmtId="164" fontId="0" fillId="3" borderId="0" xfId="0" applyNumberFormat="1" applyFill="1"/>
    <xf numFmtId="0" fontId="8" fillId="0" borderId="0" xfId="1" applyFill="1" applyBorder="1"/>
    <xf numFmtId="0" fontId="13" fillId="0" borderId="0" xfId="0" applyFont="1" applyFill="1" applyAlignment="1">
      <alignment horizontal="right"/>
    </xf>
    <xf numFmtId="2" fontId="9" fillId="0" borderId="11" xfId="1" applyNumberFormat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 vertical="center"/>
    </xf>
    <xf numFmtId="164" fontId="9" fillId="0" borderId="18" xfId="1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/>
    </xf>
    <xf numFmtId="49" fontId="11" fillId="2" borderId="17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9" fillId="6" borderId="19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left" vertical="center" wrapText="1"/>
    </xf>
    <xf numFmtId="164" fontId="9" fillId="6" borderId="20" xfId="1" applyNumberFormat="1" applyFont="1" applyFill="1" applyBorder="1" applyAlignment="1">
      <alignment horizontal="center" vertical="center" wrapText="1"/>
    </xf>
    <xf numFmtId="164" fontId="9" fillId="6" borderId="21" xfId="1" applyNumberFormat="1" applyFont="1" applyFill="1" applyBorder="1" applyAlignment="1">
      <alignment horizontal="center" vertical="center" wrapText="1"/>
    </xf>
    <xf numFmtId="0" fontId="31" fillId="0" borderId="0" xfId="0" applyFont="1" applyBorder="1"/>
    <xf numFmtId="49" fontId="14" fillId="0" borderId="0" xfId="1" applyNumberFormat="1" applyFont="1" applyAlignment="1">
      <alignment horizontal="center"/>
    </xf>
    <xf numFmtId="49" fontId="14" fillId="0" borderId="0" xfId="1" applyNumberFormat="1" applyFont="1" applyAlignment="1">
      <alignment wrapText="1"/>
    </xf>
    <xf numFmtId="0" fontId="14" fillId="0" borderId="0" xfId="1" applyFont="1"/>
    <xf numFmtId="0" fontId="29" fillId="0" borderId="0" xfId="1" applyFont="1" applyFill="1" applyAlignment="1">
      <alignment horizontal="center"/>
    </xf>
    <xf numFmtId="49" fontId="29" fillId="0" borderId="1" xfId="1" applyNumberFormat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wrapText="1"/>
    </xf>
    <xf numFmtId="49" fontId="10" fillId="3" borderId="3" xfId="1" applyNumberFormat="1" applyFont="1" applyFill="1" applyBorder="1" applyAlignment="1">
      <alignment horizontal="center"/>
    </xf>
    <xf numFmtId="49" fontId="9" fillId="3" borderId="3" xfId="1" applyNumberFormat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0" fontId="27" fillId="0" borderId="0" xfId="0" applyFont="1" applyFill="1"/>
    <xf numFmtId="164" fontId="27" fillId="0" borderId="0" xfId="0" applyNumberFormat="1" applyFont="1" applyFill="1"/>
    <xf numFmtId="0" fontId="13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164" fontId="9" fillId="3" borderId="3" xfId="1" applyNumberFormat="1" applyFont="1" applyFill="1" applyBorder="1" applyAlignment="1">
      <alignment horizontal="center"/>
    </xf>
    <xf numFmtId="0" fontId="14" fillId="0" borderId="0" xfId="1" applyFont="1" applyFill="1"/>
    <xf numFmtId="164" fontId="14" fillId="0" borderId="0" xfId="1" applyNumberFormat="1" applyFont="1"/>
    <xf numFmtId="0" fontId="14" fillId="0" borderId="0" xfId="1" applyNumberFormat="1" applyFont="1" applyAlignment="1">
      <alignment horizontal="center"/>
    </xf>
    <xf numFmtId="49" fontId="14" fillId="0" borderId="0" xfId="1" applyNumberFormat="1" applyFont="1"/>
    <xf numFmtId="164" fontId="9" fillId="0" borderId="0" xfId="1" applyNumberFormat="1" applyFont="1"/>
    <xf numFmtId="164" fontId="39" fillId="2" borderId="0" xfId="1" applyNumberFormat="1" applyFont="1" applyFill="1" applyAlignment="1">
      <alignment horizontal="center"/>
    </xf>
    <xf numFmtId="164" fontId="11" fillId="0" borderId="4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 wrapText="1"/>
    </xf>
    <xf numFmtId="164" fontId="21" fillId="4" borderId="4" xfId="1" applyNumberFormat="1" applyFont="1" applyFill="1" applyBorder="1" applyAlignment="1">
      <alignment horizontal="center"/>
    </xf>
    <xf numFmtId="0" fontId="14" fillId="0" borderId="3" xfId="1" applyFont="1" applyBorder="1"/>
    <xf numFmtId="0" fontId="38" fillId="0" borderId="3" xfId="0" applyFont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/>
    </xf>
    <xf numFmtId="49" fontId="10" fillId="0" borderId="0" xfId="1" applyNumberFormat="1" applyFont="1" applyFill="1" applyAlignment="1">
      <alignment horizontal="left"/>
    </xf>
    <xf numFmtId="49" fontId="14" fillId="0" borderId="0" xfId="1" applyNumberFormat="1" applyFont="1" applyFill="1" applyAlignment="1">
      <alignment horizontal="center"/>
    </xf>
    <xf numFmtId="0" fontId="31" fillId="0" borderId="0" xfId="0" applyFont="1" applyFill="1"/>
    <xf numFmtId="49" fontId="37" fillId="0" borderId="0" xfId="1" applyNumberFormat="1" applyFont="1" applyFill="1"/>
    <xf numFmtId="49" fontId="14" fillId="0" borderId="0" xfId="1" applyNumberFormat="1" applyFont="1" applyFill="1" applyAlignment="1">
      <alignment wrapText="1"/>
    </xf>
    <xf numFmtId="49" fontId="37" fillId="0" borderId="0" xfId="1" applyNumberFormat="1" applyFont="1" applyFill="1" applyAlignment="1">
      <alignment horizontal="center"/>
    </xf>
    <xf numFmtId="49" fontId="29" fillId="0" borderId="0" xfId="1" applyNumberFormat="1" applyFont="1" applyFill="1" applyAlignment="1">
      <alignment horizontal="center" wrapText="1"/>
    </xf>
    <xf numFmtId="49" fontId="29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49" fontId="36" fillId="0" borderId="0" xfId="1" applyNumberFormat="1" applyFont="1" applyFill="1" applyBorder="1" applyAlignment="1">
      <alignment horizontal="center" vertical="center" wrapText="1"/>
    </xf>
    <xf numFmtId="49" fontId="36" fillId="0" borderId="5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wrapText="1"/>
    </xf>
    <xf numFmtId="49" fontId="11" fillId="0" borderId="3" xfId="1" applyNumberFormat="1" applyFont="1" applyFill="1" applyBorder="1" applyAlignment="1">
      <alignment horizontal="left" wrapText="1"/>
    </xf>
    <xf numFmtId="49" fontId="11" fillId="0" borderId="3" xfId="1" applyNumberFormat="1" applyFont="1" applyFill="1" applyBorder="1" applyAlignment="1">
      <alignment wrapText="1"/>
    </xf>
    <xf numFmtId="49" fontId="9" fillId="0" borderId="3" xfId="1" applyNumberFormat="1" applyFont="1" applyFill="1" applyBorder="1" applyAlignment="1">
      <alignment horizontal="center" wrapText="1"/>
    </xf>
    <xf numFmtId="49" fontId="21" fillId="0" borderId="4" xfId="1" applyNumberFormat="1" applyFont="1" applyFill="1" applyBorder="1" applyAlignment="1">
      <alignment horizontal="center" wrapText="1"/>
    </xf>
    <xf numFmtId="49" fontId="29" fillId="0" borderId="3" xfId="1" applyNumberFormat="1" applyFont="1" applyFill="1" applyBorder="1" applyAlignment="1">
      <alignment horizontal="center"/>
    </xf>
    <xf numFmtId="49" fontId="23" fillId="0" borderId="1" xfId="1" applyNumberFormat="1" applyFont="1" applyFill="1" applyBorder="1" applyAlignment="1">
      <alignment horizontal="center" wrapText="1"/>
    </xf>
    <xf numFmtId="49" fontId="24" fillId="0" borderId="1" xfId="1" applyNumberFormat="1" applyFont="1" applyFill="1" applyBorder="1" applyAlignment="1">
      <alignment horizontal="center" wrapText="1"/>
    </xf>
    <xf numFmtId="49" fontId="11" fillId="0" borderId="4" xfId="1" applyNumberFormat="1" applyFont="1" applyFill="1" applyBorder="1" applyAlignment="1">
      <alignment wrapText="1"/>
    </xf>
    <xf numFmtId="49" fontId="10" fillId="0" borderId="0" xfId="1" applyNumberFormat="1" applyFont="1" applyFill="1" applyAlignment="1">
      <alignment horizontal="right"/>
    </xf>
    <xf numFmtId="0" fontId="10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/>
    <xf numFmtId="49" fontId="9" fillId="0" borderId="0" xfId="1" applyNumberFormat="1" applyFont="1" applyFill="1" applyAlignment="1">
      <alignment horizontal="right" wrapText="1"/>
    </xf>
    <xf numFmtId="49" fontId="10" fillId="0" borderId="0" xfId="1" applyNumberFormat="1" applyFont="1" applyFill="1" applyAlignment="1">
      <alignment horizontal="center" wrapText="1"/>
    </xf>
    <xf numFmtId="49" fontId="36" fillId="0" borderId="0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40" fillId="0" borderId="3" xfId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left" vertical="top" wrapText="1"/>
    </xf>
    <xf numFmtId="0" fontId="11" fillId="0" borderId="3" xfId="1" applyNumberFormat="1" applyFont="1" applyFill="1" applyBorder="1" applyAlignment="1">
      <alignment horizontal="center" wrapText="1"/>
    </xf>
    <xf numFmtId="49" fontId="11" fillId="0" borderId="6" xfId="1" applyNumberFormat="1" applyFont="1" applyFill="1" applyBorder="1" applyAlignment="1">
      <alignment horizontal="left" wrapText="1"/>
    </xf>
    <xf numFmtId="49" fontId="11" fillId="0" borderId="7" xfId="1" applyNumberFormat="1" applyFont="1" applyFill="1" applyBorder="1" applyAlignment="1">
      <alignment horizontal="left" wrapText="1"/>
    </xf>
    <xf numFmtId="49" fontId="29" fillId="0" borderId="3" xfId="1" applyNumberFormat="1" applyFont="1" applyFill="1" applyBorder="1" applyAlignment="1">
      <alignment horizontal="center" vertical="center"/>
    </xf>
    <xf numFmtId="0" fontId="22" fillId="0" borderId="3" xfId="26" applyFont="1" applyFill="1" applyBorder="1" applyAlignment="1">
      <alignment wrapText="1"/>
    </xf>
    <xf numFmtId="49" fontId="11" fillId="0" borderId="6" xfId="1" applyNumberFormat="1" applyFont="1" applyFill="1" applyBorder="1" applyAlignment="1">
      <alignment wrapText="1"/>
    </xf>
    <xf numFmtId="49" fontId="11" fillId="0" borderId="5" xfId="1" applyNumberFormat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center" wrapText="1"/>
    </xf>
    <xf numFmtId="0" fontId="22" fillId="0" borderId="6" xfId="26" applyFont="1" applyFill="1" applyBorder="1" applyAlignment="1">
      <alignment wrapText="1"/>
    </xf>
    <xf numFmtId="49" fontId="11" fillId="0" borderId="8" xfId="1" applyNumberFormat="1" applyFont="1" applyFill="1" applyBorder="1" applyAlignment="1">
      <alignment horizontal="left" wrapText="1"/>
    </xf>
    <xf numFmtId="0" fontId="11" fillId="0" borderId="6" xfId="1" applyFont="1" applyFill="1" applyBorder="1" applyAlignment="1">
      <alignment wrapText="1"/>
    </xf>
    <xf numFmtId="165" fontId="11" fillId="0" borderId="5" xfId="1" applyNumberFormat="1" applyFont="1" applyFill="1" applyBorder="1" applyAlignment="1">
      <alignment horizontal="left" vertical="center" wrapText="1"/>
    </xf>
    <xf numFmtId="0" fontId="22" fillId="0" borderId="2" xfId="28" applyFont="1" applyFill="1" applyBorder="1"/>
    <xf numFmtId="0" fontId="22" fillId="0" borderId="2" xfId="28" applyFont="1" applyFill="1" applyBorder="1" applyAlignment="1">
      <alignment wrapText="1"/>
    </xf>
    <xf numFmtId="49" fontId="11" fillId="0" borderId="2" xfId="1" applyNumberFormat="1" applyFont="1" applyFill="1" applyBorder="1" applyAlignment="1">
      <alignment horizontal="left" vertical="top" wrapText="1"/>
    </xf>
    <xf numFmtId="0" fontId="22" fillId="0" borderId="3" xfId="27" applyFont="1" applyFill="1" applyBorder="1" applyAlignment="1">
      <alignment wrapText="1"/>
    </xf>
    <xf numFmtId="0" fontId="22" fillId="0" borderId="3" xfId="26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center" wrapText="1"/>
    </xf>
    <xf numFmtId="0" fontId="22" fillId="0" borderId="5" xfId="26" applyFont="1" applyFill="1" applyBorder="1" applyAlignment="1">
      <alignment wrapText="1"/>
    </xf>
    <xf numFmtId="3" fontId="11" fillId="0" borderId="5" xfId="1" applyNumberFormat="1" applyFont="1" applyFill="1" applyBorder="1" applyAlignment="1">
      <alignment horizontal="center" wrapText="1"/>
    </xf>
    <xf numFmtId="164" fontId="31" fillId="0" borderId="0" xfId="0" applyNumberFormat="1" applyFont="1"/>
    <xf numFmtId="0" fontId="14" fillId="0" borderId="23" xfId="1" applyFont="1" applyBorder="1"/>
    <xf numFmtId="164" fontId="9" fillId="0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6" fontId="22" fillId="0" borderId="3" xfId="0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 wrapText="1"/>
    </xf>
    <xf numFmtId="164" fontId="11" fillId="0" borderId="3" xfId="1" applyNumberFormat="1" applyFont="1" applyFill="1" applyBorder="1" applyAlignment="1">
      <alignment horizontal="center" wrapText="1"/>
    </xf>
    <xf numFmtId="164" fontId="11" fillId="0" borderId="3" xfId="1" applyNumberFormat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 wrapText="1"/>
    </xf>
    <xf numFmtId="164" fontId="21" fillId="0" borderId="3" xfId="1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 wrapText="1"/>
    </xf>
    <xf numFmtId="49" fontId="9" fillId="7" borderId="3" xfId="1" applyNumberFormat="1" applyFont="1" applyFill="1" applyBorder="1" applyAlignment="1">
      <alignment horizontal="center"/>
    </xf>
    <xf numFmtId="49" fontId="9" fillId="7" borderId="2" xfId="1" applyNumberFormat="1" applyFont="1" applyFill="1" applyBorder="1" applyAlignment="1">
      <alignment wrapText="1"/>
    </xf>
    <xf numFmtId="49" fontId="9" fillId="7" borderId="1" xfId="1" applyNumberFormat="1" applyFont="1" applyFill="1" applyBorder="1" applyAlignment="1">
      <alignment horizontal="center" wrapText="1"/>
    </xf>
    <xf numFmtId="0" fontId="9" fillId="7" borderId="5" xfId="1" applyNumberFormat="1" applyFont="1" applyFill="1" applyBorder="1" applyAlignment="1">
      <alignment horizontal="center" wrapText="1"/>
    </xf>
    <xf numFmtId="164" fontId="11" fillId="7" borderId="4" xfId="1" applyNumberFormat="1" applyFont="1" applyFill="1" applyBorder="1" applyAlignment="1">
      <alignment horizontal="center" wrapText="1"/>
    </xf>
    <xf numFmtId="0" fontId="25" fillId="7" borderId="2" xfId="26" applyFont="1" applyFill="1" applyBorder="1" applyAlignment="1">
      <alignment wrapText="1"/>
    </xf>
    <xf numFmtId="0" fontId="11" fillId="7" borderId="5" xfId="1" applyNumberFormat="1" applyFont="1" applyFill="1" applyBorder="1" applyAlignment="1">
      <alignment horizontal="center" wrapText="1"/>
    </xf>
    <xf numFmtId="49" fontId="11" fillId="7" borderId="1" xfId="1" applyNumberFormat="1" applyFont="1" applyFill="1" applyBorder="1" applyAlignment="1">
      <alignment horizontal="center" wrapText="1"/>
    </xf>
    <xf numFmtId="164" fontId="9" fillId="7" borderId="2" xfId="1" applyNumberFormat="1" applyFont="1" applyFill="1" applyBorder="1" applyAlignment="1">
      <alignment horizontal="center" wrapText="1"/>
    </xf>
    <xf numFmtId="49" fontId="9" fillId="7" borderId="3" xfId="1" applyNumberFormat="1" applyFont="1" applyFill="1" applyBorder="1" applyAlignment="1">
      <alignment wrapText="1"/>
    </xf>
    <xf numFmtId="0" fontId="9" fillId="7" borderId="1" xfId="1" applyNumberFormat="1" applyFont="1" applyFill="1" applyBorder="1" applyAlignment="1">
      <alignment horizontal="center" wrapText="1"/>
    </xf>
    <xf numFmtId="164" fontId="9" fillId="7" borderId="4" xfId="1" applyNumberFormat="1" applyFont="1" applyFill="1" applyBorder="1" applyAlignment="1">
      <alignment horizontal="center" wrapText="1"/>
    </xf>
    <xf numFmtId="49" fontId="9" fillId="7" borderId="2" xfId="1" applyNumberFormat="1" applyFont="1" applyFill="1" applyBorder="1" applyAlignment="1">
      <alignment horizontal="left" wrapText="1"/>
    </xf>
    <xf numFmtId="49" fontId="9" fillId="7" borderId="5" xfId="1" applyNumberFormat="1" applyFont="1" applyFill="1" applyBorder="1" applyAlignment="1">
      <alignment horizontal="left" wrapText="1"/>
    </xf>
    <xf numFmtId="49" fontId="9" fillId="7" borderId="1" xfId="1" applyNumberFormat="1" applyFont="1" applyFill="1" applyBorder="1" applyAlignment="1">
      <alignment horizontal="left" wrapText="1"/>
    </xf>
    <xf numFmtId="164" fontId="11" fillId="0" borderId="3" xfId="49" applyNumberFormat="1" applyFont="1" applyFill="1" applyBorder="1" applyAlignment="1">
      <alignment horizontal="center" vertical="center"/>
    </xf>
    <xf numFmtId="164" fontId="11" fillId="0" borderId="18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/>
    </xf>
    <xf numFmtId="166" fontId="22" fillId="0" borderId="3" xfId="0" applyNumberFormat="1" applyFont="1" applyFill="1" applyBorder="1" applyAlignment="1">
      <alignment horizontal="center" vertical="center"/>
    </xf>
    <xf numFmtId="166" fontId="22" fillId="0" borderId="18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0" fillId="0" borderId="2" xfId="1" applyNumberFormat="1" applyFont="1" applyFill="1" applyBorder="1" applyAlignment="1">
      <alignment vertical="top" wrapText="1"/>
    </xf>
    <xf numFmtId="0" fontId="11" fillId="0" borderId="2" xfId="1" applyNumberFormat="1" applyFont="1" applyFill="1" applyBorder="1" applyAlignment="1">
      <alignment wrapText="1"/>
    </xf>
    <xf numFmtId="0" fontId="29" fillId="0" borderId="2" xfId="1" applyNumberFormat="1" applyFont="1" applyFill="1" applyBorder="1" applyAlignment="1">
      <alignment wrapText="1"/>
    </xf>
    <xf numFmtId="0" fontId="22" fillId="0" borderId="3" xfId="0" applyNumberFormat="1" applyFont="1" applyFill="1" applyBorder="1" applyAlignment="1">
      <alignment wrapText="1"/>
    </xf>
    <xf numFmtId="0" fontId="11" fillId="0" borderId="2" xfId="1" applyNumberFormat="1" applyFont="1" applyFill="1" applyBorder="1" applyAlignment="1">
      <alignment horizontal="left" wrapText="1"/>
    </xf>
    <xf numFmtId="0" fontId="29" fillId="0" borderId="2" xfId="1" applyNumberFormat="1" applyFont="1" applyFill="1" applyBorder="1" applyAlignment="1">
      <alignment horizontal="left" wrapText="1"/>
    </xf>
    <xf numFmtId="49" fontId="29" fillId="0" borderId="2" xfId="1" applyNumberFormat="1" applyFont="1" applyFill="1" applyBorder="1" applyAlignment="1">
      <alignment wrapText="1"/>
    </xf>
    <xf numFmtId="0" fontId="9" fillId="0" borderId="1" xfId="1" applyNumberFormat="1" applyFont="1" applyFill="1" applyBorder="1" applyAlignment="1">
      <alignment horizontal="center" wrapText="1"/>
    </xf>
    <xf numFmtId="164" fontId="9" fillId="0" borderId="4" xfId="1" applyNumberFormat="1" applyFont="1" applyFill="1" applyBorder="1" applyAlignment="1">
      <alignment horizontal="center" wrapText="1"/>
    </xf>
    <xf numFmtId="0" fontId="10" fillId="0" borderId="4" xfId="1" applyFont="1" applyFill="1" applyBorder="1" applyAlignment="1">
      <alignment wrapText="1"/>
    </xf>
    <xf numFmtId="49" fontId="10" fillId="0" borderId="1" xfId="1" applyNumberFormat="1" applyFont="1" applyFill="1" applyBorder="1" applyAlignment="1">
      <alignment horizontal="left" wrapText="1"/>
    </xf>
    <xf numFmtId="0" fontId="29" fillId="0" borderId="3" xfId="1" applyFont="1" applyFill="1" applyBorder="1" applyAlignment="1">
      <alignment wrapText="1"/>
    </xf>
    <xf numFmtId="49" fontId="29" fillId="0" borderId="1" xfId="1" applyNumberFormat="1" applyFont="1" applyFill="1" applyBorder="1" applyAlignment="1">
      <alignment horizontal="left" wrapText="1"/>
    </xf>
    <xf numFmtId="49" fontId="29" fillId="0" borderId="3" xfId="1" applyNumberFormat="1" applyFont="1" applyFill="1" applyBorder="1" applyAlignment="1">
      <alignment horizontal="left" wrapText="1"/>
    </xf>
    <xf numFmtId="0" fontId="13" fillId="0" borderId="3" xfId="24" applyFont="1" applyFill="1" applyBorder="1" applyAlignment="1">
      <alignment wrapText="1"/>
    </xf>
    <xf numFmtId="49" fontId="29" fillId="0" borderId="3" xfId="1" applyNumberFormat="1" applyFont="1" applyFill="1" applyBorder="1" applyAlignment="1">
      <alignment wrapText="1"/>
    </xf>
    <xf numFmtId="49" fontId="29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horizontal="left" wrapText="1"/>
    </xf>
    <xf numFmtId="49" fontId="29" fillId="0" borderId="4" xfId="1" applyNumberFormat="1" applyFont="1" applyFill="1" applyBorder="1" applyAlignment="1">
      <alignment horizontal="left" wrapText="1"/>
    </xf>
    <xf numFmtId="0" fontId="30" fillId="0" borderId="2" xfId="24" applyFont="1" applyFill="1" applyBorder="1" applyAlignment="1">
      <alignment wrapText="1"/>
    </xf>
    <xf numFmtId="165" fontId="29" fillId="0" borderId="2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43" fillId="0" borderId="3" xfId="24" applyFont="1" applyFill="1" applyBorder="1" applyAlignment="1">
      <alignment horizontal="justify"/>
    </xf>
    <xf numFmtId="0" fontId="13" fillId="0" borderId="0" xfId="0" applyFont="1" applyFill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0" fontId="13" fillId="0" borderId="3" xfId="25" applyFont="1" applyFill="1" applyBorder="1" applyAlignment="1">
      <alignment wrapText="1"/>
    </xf>
    <xf numFmtId="0" fontId="30" fillId="0" borderId="3" xfId="24" applyFont="1" applyFill="1" applyBorder="1" applyAlignment="1">
      <alignment wrapText="1"/>
    </xf>
    <xf numFmtId="0" fontId="13" fillId="0" borderId="3" xfId="0" applyNumberFormat="1" applyFont="1" applyFill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left" wrapText="1"/>
    </xf>
    <xf numFmtId="49" fontId="10" fillId="3" borderId="3" xfId="1" applyNumberFormat="1" applyFont="1" applyFill="1" applyBorder="1" applyAlignment="1">
      <alignment horizontal="left" wrapText="1"/>
    </xf>
    <xf numFmtId="0" fontId="9" fillId="2" borderId="3" xfId="1" applyFont="1" applyFill="1" applyBorder="1" applyAlignment="1">
      <alignment horizontal="left" vertical="top" wrapText="1"/>
    </xf>
    <xf numFmtId="0" fontId="10" fillId="0" borderId="0" xfId="0" applyFont="1" applyAlignment="1"/>
    <xf numFmtId="164" fontId="9" fillId="0" borderId="3" xfId="49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left" vertical="center" wrapText="1"/>
    </xf>
    <xf numFmtId="166" fontId="11" fillId="0" borderId="3" xfId="1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 wrapText="1"/>
    </xf>
    <xf numFmtId="166" fontId="11" fillId="0" borderId="3" xfId="1" applyNumberFormat="1" applyFont="1" applyFill="1" applyBorder="1" applyAlignment="1">
      <alignment horizontal="center" wrapText="1"/>
    </xf>
    <xf numFmtId="164" fontId="22" fillId="0" borderId="3" xfId="0" applyNumberFormat="1" applyFont="1" applyFill="1" applyBorder="1" applyAlignment="1">
      <alignment horizontal="center"/>
    </xf>
    <xf numFmtId="4" fontId="11" fillId="0" borderId="3" xfId="1" applyNumberFormat="1" applyFont="1" applyFill="1" applyBorder="1" applyAlignment="1">
      <alignment horizontal="center" wrapText="1"/>
    </xf>
    <xf numFmtId="49" fontId="11" fillId="0" borderId="1" xfId="1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43" fontId="11" fillId="0" borderId="3" xfId="50" applyFont="1" applyFill="1" applyBorder="1" applyAlignment="1">
      <alignment horizontal="center" wrapText="1"/>
    </xf>
    <xf numFmtId="43" fontId="22" fillId="0" borderId="3" xfId="5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11" fillId="0" borderId="3" xfId="1" applyNumberFormat="1" applyFont="1" applyFill="1" applyBorder="1" applyAlignment="1">
      <alignment horizontal="center" wrapText="1"/>
    </xf>
    <xf numFmtId="2" fontId="11" fillId="0" borderId="3" xfId="1" applyNumberFormat="1" applyFont="1" applyFill="1" applyBorder="1" applyAlignment="1">
      <alignment horizontal="center"/>
    </xf>
    <xf numFmtId="4" fontId="11" fillId="0" borderId="3" xfId="1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166" fontId="11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wrapText="1"/>
    </xf>
    <xf numFmtId="164" fontId="32" fillId="0" borderId="3" xfId="1" applyNumberFormat="1" applyFont="1" applyFill="1" applyBorder="1" applyAlignment="1">
      <alignment horizontal="center" wrapText="1"/>
    </xf>
    <xf numFmtId="0" fontId="46" fillId="0" borderId="3" xfId="24" applyFont="1" applyFill="1" applyBorder="1" applyAlignment="1">
      <alignment horizontal="justify"/>
    </xf>
    <xf numFmtId="0" fontId="10" fillId="0" borderId="2" xfId="1" applyNumberFormat="1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/>
    </xf>
    <xf numFmtId="0" fontId="29" fillId="0" borderId="2" xfId="1" applyNumberFormat="1" applyFont="1" applyFill="1" applyBorder="1" applyAlignment="1">
      <alignment vertical="top" wrapText="1"/>
    </xf>
    <xf numFmtId="166" fontId="0" fillId="0" borderId="0" xfId="0" applyNumberFormat="1" applyFill="1"/>
    <xf numFmtId="166" fontId="0" fillId="0" borderId="0" xfId="0" applyNumberFormat="1"/>
    <xf numFmtId="0" fontId="9" fillId="0" borderId="0" xfId="1" applyFont="1" applyAlignment="1">
      <alignment horizontal="right"/>
    </xf>
    <xf numFmtId="2" fontId="9" fillId="0" borderId="13" xfId="1" applyNumberFormat="1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>
      <alignment horizontal="center" vertical="center"/>
    </xf>
    <xf numFmtId="0" fontId="32" fillId="0" borderId="0" xfId="1" applyFont="1" applyAlignment="1">
      <alignment horizontal="right"/>
    </xf>
    <xf numFmtId="0" fontId="9" fillId="2" borderId="0" xfId="1" applyFont="1" applyFill="1" applyAlignment="1">
      <alignment horizontal="right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29" fillId="0" borderId="0" xfId="1" applyFont="1" applyFill="1" applyAlignment="1">
      <alignment horizontal="center"/>
    </xf>
    <xf numFmtId="0" fontId="30" fillId="0" borderId="3" xfId="0" applyFont="1" applyFill="1" applyBorder="1" applyAlignment="1">
      <alignment horizontal="center" vertical="center"/>
    </xf>
    <xf numFmtId="49" fontId="42" fillId="0" borderId="0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10" fillId="0" borderId="1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9" fontId="10" fillId="0" borderId="11" xfId="1" applyNumberFormat="1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right"/>
    </xf>
    <xf numFmtId="0" fontId="45" fillId="0" borderId="0" xfId="1" applyFont="1" applyFill="1" applyAlignment="1">
      <alignment horizontal="right"/>
    </xf>
    <xf numFmtId="0" fontId="10" fillId="0" borderId="3" xfId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9" fontId="10" fillId="0" borderId="22" xfId="1" applyNumberFormat="1" applyFont="1" applyFill="1" applyBorder="1" applyAlignment="1">
      <alignment horizontal="center" vertical="center" wrapText="1"/>
    </xf>
    <xf numFmtId="9" fontId="10" fillId="0" borderId="2" xfId="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</cellXfs>
  <cellStyles count="58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6 2 2" xfId="54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 8" xfId="51"/>
    <cellStyle name="Обычный 9" xfId="55"/>
    <cellStyle name="Обычный 9 2" xfId="52"/>
    <cellStyle name="Обычный_Доходы" xfId="49"/>
    <cellStyle name="Процентный 2" xfId="14"/>
    <cellStyle name="Финансовый" xfId="50" builtinId="3"/>
    <cellStyle name="Финансовый 2" xfId="56"/>
    <cellStyle name="Финансовый 3" xfId="57"/>
    <cellStyle name="Финансовый 3 2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view="pageBreakPreview" zoomScale="70" zoomScaleNormal="70" zoomScaleSheetLayoutView="70" workbookViewId="0">
      <selection activeCell="D11" sqref="D11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4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40"/>
      <c r="B1" s="57"/>
      <c r="C1" s="40"/>
      <c r="F1" s="288" t="s">
        <v>357</v>
      </c>
      <c r="G1" s="288"/>
    </row>
    <row r="2" spans="1:13" ht="18.75" x14ac:dyDescent="0.3">
      <c r="A2" s="1"/>
      <c r="B2" s="1"/>
      <c r="C2" s="1"/>
      <c r="E2" s="288" t="s">
        <v>16</v>
      </c>
      <c r="F2" s="288"/>
      <c r="G2" s="288"/>
    </row>
    <row r="3" spans="1:13" ht="19.5" x14ac:dyDescent="0.3">
      <c r="A3" s="86"/>
      <c r="B3" s="1"/>
      <c r="C3" s="1"/>
      <c r="E3" s="291" t="s">
        <v>15</v>
      </c>
      <c r="F3" s="291"/>
      <c r="G3" s="291"/>
    </row>
    <row r="4" spans="1:13" ht="18.75" x14ac:dyDescent="0.3">
      <c r="A4" s="1"/>
      <c r="B4" s="1"/>
      <c r="C4" s="1"/>
      <c r="E4" s="292" t="s">
        <v>585</v>
      </c>
      <c r="F4" s="292"/>
      <c r="G4" s="292"/>
    </row>
    <row r="5" spans="1:13" ht="15.75" x14ac:dyDescent="0.25">
      <c r="A5" s="293" t="s">
        <v>514</v>
      </c>
      <c r="B5" s="294"/>
      <c r="C5" s="294"/>
      <c r="D5" s="294"/>
      <c r="E5" s="294"/>
      <c r="F5" s="294"/>
      <c r="G5" s="294"/>
    </row>
    <row r="6" spans="1:13" ht="16.5" thickBot="1" x14ac:dyDescent="0.3">
      <c r="A6" s="1"/>
      <c r="B6" s="1"/>
      <c r="C6" s="301"/>
      <c r="D6" s="301"/>
      <c r="E6" s="58"/>
      <c r="F6" s="31"/>
      <c r="G6" s="89" t="s">
        <v>308</v>
      </c>
    </row>
    <row r="7" spans="1:13" ht="22.5" customHeight="1" x14ac:dyDescent="0.25">
      <c r="A7" s="295" t="s">
        <v>281</v>
      </c>
      <c r="B7" s="297" t="s">
        <v>306</v>
      </c>
      <c r="C7" s="297" t="s">
        <v>305</v>
      </c>
      <c r="D7" s="297" t="s">
        <v>282</v>
      </c>
      <c r="E7" s="299" t="s">
        <v>412</v>
      </c>
      <c r="F7" s="289" t="s">
        <v>307</v>
      </c>
      <c r="G7" s="290"/>
      <c r="H7" s="3"/>
      <c r="I7" s="3"/>
      <c r="J7" s="3"/>
      <c r="K7" s="3"/>
      <c r="L7" s="3"/>
      <c r="M7" s="3"/>
    </row>
    <row r="8" spans="1:13" ht="18.75" customHeight="1" x14ac:dyDescent="0.3">
      <c r="A8" s="296"/>
      <c r="B8" s="298"/>
      <c r="C8" s="298"/>
      <c r="D8" s="298"/>
      <c r="E8" s="300"/>
      <c r="F8" s="90" t="s">
        <v>512</v>
      </c>
      <c r="G8" s="95" t="s">
        <v>513</v>
      </c>
      <c r="H8" s="3"/>
      <c r="I8" s="3"/>
      <c r="J8" s="3"/>
      <c r="K8" s="3"/>
      <c r="L8" s="3"/>
      <c r="M8" s="3"/>
    </row>
    <row r="9" spans="1:13" ht="18.75" x14ac:dyDescent="0.3">
      <c r="A9" s="96">
        <v>1</v>
      </c>
      <c r="B9" s="91">
        <v>2</v>
      </c>
      <c r="C9" s="91">
        <v>3</v>
      </c>
      <c r="D9" s="92">
        <v>4</v>
      </c>
      <c r="E9" s="93">
        <v>5</v>
      </c>
      <c r="F9" s="94">
        <v>6</v>
      </c>
      <c r="G9" s="97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98" t="s">
        <v>283</v>
      </c>
      <c r="B10" s="59" t="s">
        <v>284</v>
      </c>
      <c r="C10" s="60" t="s">
        <v>285</v>
      </c>
      <c r="D10" s="61" t="s">
        <v>286</v>
      </c>
      <c r="E10" s="62">
        <f>E11+E19+E14+E17</f>
        <v>20517.2</v>
      </c>
      <c r="F10" s="62">
        <f t="shared" ref="F10:G10" si="0">F11+F19+F14+F17</f>
        <v>16595.5</v>
      </c>
      <c r="G10" s="62">
        <f t="shared" si="0"/>
        <v>17901.399999999998</v>
      </c>
      <c r="H10" s="63"/>
      <c r="I10" s="63"/>
      <c r="J10" s="3"/>
      <c r="K10" s="3"/>
      <c r="L10" s="3"/>
      <c r="M10" s="3"/>
    </row>
    <row r="11" spans="1:13" ht="23.25" customHeight="1" x14ac:dyDescent="0.25">
      <c r="A11" s="100" t="s">
        <v>0</v>
      </c>
      <c r="B11" s="64" t="s">
        <v>284</v>
      </c>
      <c r="C11" s="60" t="s">
        <v>459</v>
      </c>
      <c r="D11" s="61" t="s">
        <v>456</v>
      </c>
      <c r="E11" s="65">
        <f>E12</f>
        <v>20508.3</v>
      </c>
      <c r="F11" s="65">
        <f t="shared" ref="F11:G11" si="1">F12</f>
        <v>16585.5</v>
      </c>
      <c r="G11" s="65">
        <f t="shared" si="1"/>
        <v>17896.3</v>
      </c>
      <c r="H11" s="3"/>
      <c r="I11" s="3"/>
      <c r="J11" s="3"/>
      <c r="K11" s="3"/>
      <c r="L11" s="3"/>
      <c r="M11" s="3"/>
    </row>
    <row r="12" spans="1:13" ht="18.75" x14ac:dyDescent="0.25">
      <c r="A12" s="100" t="s">
        <v>6</v>
      </c>
      <c r="B12" s="64" t="s">
        <v>287</v>
      </c>
      <c r="C12" s="60" t="s">
        <v>458</v>
      </c>
      <c r="D12" s="61" t="s">
        <v>457</v>
      </c>
      <c r="E12" s="65">
        <f>E13</f>
        <v>20508.3</v>
      </c>
      <c r="F12" s="65">
        <f t="shared" ref="F12:G12" si="2">F13</f>
        <v>16585.5</v>
      </c>
      <c r="G12" s="65">
        <f t="shared" si="2"/>
        <v>17896.3</v>
      </c>
      <c r="H12" s="3"/>
      <c r="I12" s="68"/>
      <c r="J12" s="3"/>
      <c r="K12" s="3"/>
      <c r="L12" s="68"/>
      <c r="M12" s="3"/>
    </row>
    <row r="13" spans="1:13" ht="112.5" x14ac:dyDescent="0.25">
      <c r="A13" s="101" t="s">
        <v>7</v>
      </c>
      <c r="B13" s="66" t="s">
        <v>287</v>
      </c>
      <c r="C13" s="66" t="s">
        <v>470</v>
      </c>
      <c r="D13" s="261" t="s">
        <v>469</v>
      </c>
      <c r="E13" s="217">
        <f>14850.7+8100+1300-2500-72.4+300-2220+750</f>
        <v>20508.3</v>
      </c>
      <c r="F13" s="217">
        <f>16419.9+165.6</f>
        <v>16585.5</v>
      </c>
      <c r="G13" s="218">
        <v>17896.3</v>
      </c>
      <c r="H13" s="69"/>
      <c r="I13" s="68" t="s">
        <v>583</v>
      </c>
      <c r="J13" s="3"/>
      <c r="K13" s="3"/>
      <c r="L13" s="68"/>
      <c r="M13" s="3"/>
    </row>
    <row r="14" spans="1:13" ht="56.45" hidden="1" customHeight="1" x14ac:dyDescent="0.25">
      <c r="A14" s="100" t="s">
        <v>38</v>
      </c>
      <c r="B14" s="64" t="s">
        <v>284</v>
      </c>
      <c r="C14" s="72" t="s">
        <v>348</v>
      </c>
      <c r="D14" s="61" t="s">
        <v>416</v>
      </c>
      <c r="E14" s="65">
        <f>E15+E16</f>
        <v>0</v>
      </c>
      <c r="F14" s="65">
        <f t="shared" ref="F14:G14" si="3">F15+F16</f>
        <v>0</v>
      </c>
      <c r="G14" s="65">
        <f t="shared" si="3"/>
        <v>0</v>
      </c>
      <c r="H14" s="3"/>
      <c r="I14" s="3"/>
      <c r="J14" s="3"/>
      <c r="K14" s="3"/>
      <c r="L14" s="3"/>
      <c r="M14" s="3"/>
    </row>
    <row r="15" spans="1:13" ht="39" hidden="1" customHeight="1" x14ac:dyDescent="0.25">
      <c r="A15" s="101" t="s">
        <v>41</v>
      </c>
      <c r="B15" s="66" t="s">
        <v>417</v>
      </c>
      <c r="C15" s="73" t="s">
        <v>350</v>
      </c>
      <c r="D15" s="67" t="s">
        <v>351</v>
      </c>
      <c r="E15" s="217"/>
      <c r="F15" s="217"/>
      <c r="G15" s="217"/>
      <c r="H15" s="74"/>
      <c r="I15" s="74"/>
      <c r="J15" s="3"/>
      <c r="K15" s="3"/>
      <c r="L15" s="3"/>
      <c r="M15" s="3"/>
    </row>
    <row r="16" spans="1:13" ht="73.5" hidden="1" customHeight="1" x14ac:dyDescent="0.25">
      <c r="A16" s="101" t="s">
        <v>41</v>
      </c>
      <c r="B16" s="66" t="s">
        <v>9</v>
      </c>
      <c r="C16" s="73" t="s">
        <v>349</v>
      </c>
      <c r="D16" s="67" t="s">
        <v>352</v>
      </c>
      <c r="E16" s="217"/>
      <c r="F16" s="219"/>
      <c r="G16" s="220"/>
      <c r="H16" s="74"/>
      <c r="I16" s="74"/>
      <c r="J16" s="3"/>
      <c r="K16" s="3"/>
      <c r="L16" s="3"/>
      <c r="M16" s="3"/>
    </row>
    <row r="17" spans="1:13" ht="46.9" hidden="1" customHeight="1" x14ac:dyDescent="0.25">
      <c r="A17" s="100" t="s">
        <v>38</v>
      </c>
      <c r="B17" s="64" t="s">
        <v>284</v>
      </c>
      <c r="C17" s="72" t="s">
        <v>446</v>
      </c>
      <c r="D17" s="256" t="s">
        <v>449</v>
      </c>
      <c r="E17" s="65">
        <f>E18</f>
        <v>0</v>
      </c>
      <c r="F17" s="65">
        <f t="shared" ref="F17:G17" si="4">F18</f>
        <v>0</v>
      </c>
      <c r="G17" s="65">
        <f t="shared" si="4"/>
        <v>0</v>
      </c>
      <c r="H17" s="3"/>
      <c r="I17" s="3"/>
      <c r="J17" s="3"/>
      <c r="K17" s="3"/>
      <c r="L17" s="3"/>
      <c r="M17" s="3"/>
    </row>
    <row r="18" spans="1:13" ht="165.75" hidden="1" customHeight="1" x14ac:dyDescent="0.25">
      <c r="A18" s="101" t="s">
        <v>41</v>
      </c>
      <c r="B18" s="66" t="s">
        <v>9</v>
      </c>
      <c r="C18" s="73" t="s">
        <v>447</v>
      </c>
      <c r="D18" s="67" t="s">
        <v>448</v>
      </c>
      <c r="E18" s="217"/>
      <c r="F18" s="219"/>
      <c r="G18" s="220"/>
      <c r="H18" s="74"/>
      <c r="I18" s="74"/>
      <c r="J18" s="3"/>
      <c r="K18" s="3"/>
      <c r="L18" s="3"/>
      <c r="M18" s="3"/>
    </row>
    <row r="19" spans="1:13" ht="21" customHeight="1" x14ac:dyDescent="0.25">
      <c r="A19" s="100" t="s">
        <v>485</v>
      </c>
      <c r="B19" s="64" t="s">
        <v>284</v>
      </c>
      <c r="C19" s="72" t="s">
        <v>288</v>
      </c>
      <c r="D19" s="61" t="s">
        <v>289</v>
      </c>
      <c r="E19" s="65">
        <f>E20+E22+E26+E28+E30+E32</f>
        <v>8.9</v>
      </c>
      <c r="F19" s="65">
        <f t="shared" ref="F19:G19" si="5">F20+F22+F26+F28+F30+F32</f>
        <v>10</v>
      </c>
      <c r="G19" s="65">
        <f t="shared" si="5"/>
        <v>5.0999999999999996</v>
      </c>
      <c r="H19" s="3"/>
      <c r="I19" s="3"/>
      <c r="J19" s="3"/>
      <c r="K19" s="3"/>
      <c r="L19" s="3"/>
      <c r="M19" s="3"/>
    </row>
    <row r="20" spans="1:13" ht="84.6" customHeight="1" x14ac:dyDescent="0.25">
      <c r="A20" s="100" t="s">
        <v>58</v>
      </c>
      <c r="B20" s="64" t="s">
        <v>284</v>
      </c>
      <c r="C20" s="72" t="s">
        <v>473</v>
      </c>
      <c r="D20" s="61" t="s">
        <v>474</v>
      </c>
      <c r="E20" s="65">
        <f>E21</f>
        <v>0</v>
      </c>
      <c r="F20" s="65">
        <f t="shared" ref="F20:G20" si="6">F21</f>
        <v>0</v>
      </c>
      <c r="G20" s="65">
        <f t="shared" si="6"/>
        <v>0</v>
      </c>
      <c r="H20" s="3"/>
      <c r="I20" s="3"/>
      <c r="J20" s="3"/>
      <c r="K20" s="3"/>
      <c r="L20" s="3"/>
      <c r="M20" s="3"/>
    </row>
    <row r="21" spans="1:13" ht="137.44999999999999" customHeight="1" x14ac:dyDescent="0.25">
      <c r="A21" s="101" t="s">
        <v>61</v>
      </c>
      <c r="B21" s="66" t="s">
        <v>9</v>
      </c>
      <c r="C21" s="73" t="s">
        <v>472</v>
      </c>
      <c r="D21" s="67" t="s">
        <v>471</v>
      </c>
      <c r="E21" s="217"/>
      <c r="F21" s="217"/>
      <c r="G21" s="218"/>
      <c r="H21" s="3"/>
      <c r="I21" s="75"/>
      <c r="J21" s="3"/>
      <c r="K21" s="3"/>
      <c r="L21" s="3"/>
      <c r="M21" s="3"/>
    </row>
    <row r="22" spans="1:13" ht="37.5" x14ac:dyDescent="0.25">
      <c r="A22" s="100" t="s">
        <v>62</v>
      </c>
      <c r="B22" s="64" t="s">
        <v>284</v>
      </c>
      <c r="C22" s="72" t="s">
        <v>480</v>
      </c>
      <c r="D22" s="61" t="s">
        <v>479</v>
      </c>
      <c r="E22" s="65">
        <f>SUM(E23)</f>
        <v>0</v>
      </c>
      <c r="F22" s="65">
        <f t="shared" ref="F22:G22" si="7">SUM(F23)</f>
        <v>0</v>
      </c>
      <c r="G22" s="65">
        <f t="shared" si="7"/>
        <v>0</v>
      </c>
      <c r="H22" s="3"/>
      <c r="I22" s="3"/>
      <c r="J22" s="3"/>
      <c r="K22" s="3"/>
      <c r="L22" s="3"/>
      <c r="M22" s="3"/>
    </row>
    <row r="23" spans="1:13" ht="187.5" x14ac:dyDescent="0.25">
      <c r="A23" s="100" t="s">
        <v>65</v>
      </c>
      <c r="B23" s="64" t="s">
        <v>284</v>
      </c>
      <c r="C23" s="76" t="s">
        <v>482</v>
      </c>
      <c r="D23" s="61" t="s">
        <v>481</v>
      </c>
      <c r="E23" s="65">
        <f>E24+E25</f>
        <v>0</v>
      </c>
      <c r="F23" s="65">
        <f t="shared" ref="F23:G23" si="8">F24</f>
        <v>0</v>
      </c>
      <c r="G23" s="65">
        <f t="shared" si="8"/>
        <v>0</v>
      </c>
      <c r="H23" s="3"/>
      <c r="I23" s="3"/>
      <c r="J23" s="3"/>
      <c r="K23" s="3"/>
      <c r="L23" s="3"/>
      <c r="M23" s="3"/>
    </row>
    <row r="24" spans="1:13" ht="84" customHeight="1" x14ac:dyDescent="0.25">
      <c r="A24" s="101" t="s">
        <v>495</v>
      </c>
      <c r="B24" s="66" t="s">
        <v>9</v>
      </c>
      <c r="C24" s="73" t="s">
        <v>483</v>
      </c>
      <c r="D24" s="67" t="s">
        <v>484</v>
      </c>
      <c r="E24" s="215">
        <v>0</v>
      </c>
      <c r="F24" s="217">
        <v>0</v>
      </c>
      <c r="G24" s="216">
        <v>0</v>
      </c>
      <c r="H24" s="3"/>
      <c r="I24" s="77"/>
      <c r="J24" s="3"/>
      <c r="K24" s="3"/>
      <c r="L24" s="3"/>
      <c r="M24" s="3"/>
    </row>
    <row r="25" spans="1:13" ht="122.45" customHeight="1" x14ac:dyDescent="0.25">
      <c r="A25" s="101" t="s">
        <v>496</v>
      </c>
      <c r="B25" s="66" t="s">
        <v>9</v>
      </c>
      <c r="C25" s="73" t="s">
        <v>487</v>
      </c>
      <c r="D25" s="67" t="s">
        <v>486</v>
      </c>
      <c r="E25" s="215">
        <v>0</v>
      </c>
      <c r="F25" s="217">
        <v>0</v>
      </c>
      <c r="G25" s="216">
        <v>0</v>
      </c>
      <c r="H25" s="3"/>
      <c r="I25" s="77"/>
      <c r="J25" s="3"/>
      <c r="K25" s="3"/>
      <c r="L25" s="3"/>
      <c r="M25" s="3"/>
    </row>
    <row r="26" spans="1:13" ht="99.75" customHeight="1" x14ac:dyDescent="0.25">
      <c r="A26" s="100" t="s">
        <v>497</v>
      </c>
      <c r="B26" s="64" t="s">
        <v>284</v>
      </c>
      <c r="C26" s="72" t="s">
        <v>489</v>
      </c>
      <c r="D26" s="61" t="s">
        <v>488</v>
      </c>
      <c r="E26" s="258">
        <f>E27</f>
        <v>0</v>
      </c>
      <c r="F26" s="258">
        <f>F27</f>
        <v>0</v>
      </c>
      <c r="G26" s="258">
        <f>G27</f>
        <v>0</v>
      </c>
      <c r="H26" s="3"/>
      <c r="I26" s="77"/>
      <c r="J26" s="3"/>
      <c r="K26" s="3"/>
      <c r="L26" s="3"/>
      <c r="M26" s="3"/>
    </row>
    <row r="27" spans="1:13" ht="235.9" customHeight="1" x14ac:dyDescent="0.25">
      <c r="A27" s="101" t="s">
        <v>498</v>
      </c>
      <c r="B27" s="66" t="s">
        <v>9</v>
      </c>
      <c r="C27" s="73" t="s">
        <v>490</v>
      </c>
      <c r="D27" s="67" t="s">
        <v>491</v>
      </c>
      <c r="E27" s="215">
        <v>0</v>
      </c>
      <c r="F27" s="217">
        <v>0</v>
      </c>
      <c r="G27" s="216">
        <v>0</v>
      </c>
      <c r="H27" s="3"/>
      <c r="I27" s="74"/>
      <c r="J27" s="3"/>
      <c r="K27" s="3"/>
      <c r="L27" s="3"/>
      <c r="M27" s="3"/>
    </row>
    <row r="28" spans="1:13" ht="87.75" customHeight="1" x14ac:dyDescent="0.25">
      <c r="A28" s="100" t="s">
        <v>499</v>
      </c>
      <c r="B28" s="64" t="s">
        <v>284</v>
      </c>
      <c r="C28" s="72" t="s">
        <v>441</v>
      </c>
      <c r="D28" s="61" t="s">
        <v>492</v>
      </c>
      <c r="E28" s="258">
        <f>E29</f>
        <v>0</v>
      </c>
      <c r="F28" s="258">
        <f t="shared" ref="F28:G28" si="9">F29</f>
        <v>0</v>
      </c>
      <c r="G28" s="258">
        <f t="shared" si="9"/>
        <v>0</v>
      </c>
      <c r="H28" s="3"/>
      <c r="I28" s="74"/>
      <c r="J28" s="3"/>
      <c r="K28" s="3"/>
      <c r="L28" s="3"/>
      <c r="M28" s="3"/>
    </row>
    <row r="29" spans="1:13" ht="174.6" customHeight="1" x14ac:dyDescent="0.25">
      <c r="A29" s="101" t="s">
        <v>500</v>
      </c>
      <c r="B29" s="66" t="s">
        <v>9</v>
      </c>
      <c r="C29" s="73" t="s">
        <v>493</v>
      </c>
      <c r="D29" s="67" t="s">
        <v>494</v>
      </c>
      <c r="E29" s="215">
        <v>0</v>
      </c>
      <c r="F29" s="217">
        <v>0</v>
      </c>
      <c r="G29" s="216">
        <v>0</v>
      </c>
      <c r="H29" s="3"/>
      <c r="I29" s="74"/>
      <c r="J29" s="3"/>
      <c r="K29" s="3"/>
      <c r="L29" s="3"/>
      <c r="M29" s="3"/>
    </row>
    <row r="30" spans="1:13" ht="108.6" customHeight="1" x14ac:dyDescent="0.25">
      <c r="A30" s="259" t="s">
        <v>501</v>
      </c>
      <c r="B30" s="64" t="s">
        <v>9</v>
      </c>
      <c r="C30" s="72" t="s">
        <v>476</v>
      </c>
      <c r="D30" s="256" t="s">
        <v>475</v>
      </c>
      <c r="E30" s="65">
        <f>E31</f>
        <v>0</v>
      </c>
      <c r="F30" s="65">
        <f t="shared" ref="F30:G30" si="10">F31</f>
        <v>0</v>
      </c>
      <c r="G30" s="65">
        <f t="shared" si="10"/>
        <v>0</v>
      </c>
      <c r="H30" s="3"/>
      <c r="I30" s="74"/>
      <c r="J30" s="3"/>
      <c r="K30" s="3"/>
      <c r="L30" s="3"/>
      <c r="M30" s="3"/>
    </row>
    <row r="31" spans="1:13" ht="128.44999999999999" customHeight="1" x14ac:dyDescent="0.25">
      <c r="A31" s="101" t="s">
        <v>502</v>
      </c>
      <c r="B31" s="66" t="s">
        <v>9</v>
      </c>
      <c r="C31" s="73" t="s">
        <v>477</v>
      </c>
      <c r="D31" s="67" t="s">
        <v>478</v>
      </c>
      <c r="E31" s="215">
        <v>0</v>
      </c>
      <c r="F31" s="217">
        <v>0</v>
      </c>
      <c r="G31" s="216">
        <v>0</v>
      </c>
      <c r="H31" s="3"/>
      <c r="I31" s="77"/>
      <c r="J31" s="3"/>
      <c r="K31" s="3"/>
      <c r="L31" s="3"/>
      <c r="M31" s="3"/>
    </row>
    <row r="32" spans="1:13" s="10" customFormat="1" ht="195" customHeight="1" x14ac:dyDescent="0.25">
      <c r="A32" s="100" t="s">
        <v>420</v>
      </c>
      <c r="B32" s="260" t="s">
        <v>291</v>
      </c>
      <c r="C32" s="72" t="s">
        <v>442</v>
      </c>
      <c r="D32" s="71" t="s">
        <v>450</v>
      </c>
      <c r="E32" s="65">
        <f>4.9+4</f>
        <v>8.9</v>
      </c>
      <c r="F32" s="65">
        <f>5+5</f>
        <v>10</v>
      </c>
      <c r="G32" s="99">
        <v>5.0999999999999996</v>
      </c>
      <c r="H32" s="43"/>
      <c r="I32" s="79"/>
      <c r="J32" s="43"/>
      <c r="K32" s="43"/>
      <c r="L32" s="43"/>
      <c r="M32" s="43"/>
    </row>
    <row r="33" spans="1:13" ht="18.75" x14ac:dyDescent="0.25">
      <c r="A33" s="100" t="s">
        <v>13</v>
      </c>
      <c r="B33" s="64" t="s">
        <v>284</v>
      </c>
      <c r="C33" s="72" t="s">
        <v>292</v>
      </c>
      <c r="D33" s="61" t="s">
        <v>293</v>
      </c>
      <c r="E33" s="65">
        <f t="shared" ref="E33:G33" si="11">E34</f>
        <v>25968</v>
      </c>
      <c r="F33" s="65">
        <f t="shared" si="11"/>
        <v>25927.5</v>
      </c>
      <c r="G33" s="99">
        <f t="shared" si="11"/>
        <v>26154.3</v>
      </c>
      <c r="H33" s="3"/>
      <c r="I33" s="3"/>
      <c r="J33" s="3"/>
      <c r="K33" s="3"/>
      <c r="L33" s="3"/>
      <c r="M33" s="3"/>
    </row>
    <row r="34" spans="1:13" ht="56.25" x14ac:dyDescent="0.25">
      <c r="A34" s="100" t="s">
        <v>11</v>
      </c>
      <c r="B34" s="64" t="s">
        <v>284</v>
      </c>
      <c r="C34" s="72" t="s">
        <v>294</v>
      </c>
      <c r="D34" s="61" t="s">
        <v>295</v>
      </c>
      <c r="E34" s="65">
        <f>E40+E38+E35</f>
        <v>25968</v>
      </c>
      <c r="F34" s="65">
        <f t="shared" ref="F34:G34" si="12">F40+F38+F35</f>
        <v>25927.5</v>
      </c>
      <c r="G34" s="65">
        <f t="shared" si="12"/>
        <v>26154.3</v>
      </c>
      <c r="H34" s="3"/>
      <c r="I34" s="3"/>
      <c r="J34" s="3"/>
      <c r="K34" s="3"/>
      <c r="L34" s="3"/>
      <c r="M34" s="3"/>
    </row>
    <row r="35" spans="1:13" ht="37.5" x14ac:dyDescent="0.25">
      <c r="A35" s="100" t="s">
        <v>14</v>
      </c>
      <c r="B35" s="64" t="s">
        <v>9</v>
      </c>
      <c r="C35" s="72" t="s">
        <v>390</v>
      </c>
      <c r="D35" s="134" t="s">
        <v>345</v>
      </c>
      <c r="E35" s="65">
        <f>E36</f>
        <v>17076.599999999999</v>
      </c>
      <c r="F35" s="65">
        <f t="shared" ref="F35:G36" si="13">F36</f>
        <v>16670.599999999999</v>
      </c>
      <c r="G35" s="65">
        <f t="shared" si="13"/>
        <v>16518.2</v>
      </c>
      <c r="H35" s="3"/>
      <c r="I35" s="3"/>
      <c r="J35" s="3"/>
      <c r="K35" s="3"/>
      <c r="L35" s="3"/>
      <c r="M35" s="3"/>
    </row>
    <row r="36" spans="1:13" ht="18.75" x14ac:dyDescent="0.25">
      <c r="A36" s="101" t="s">
        <v>360</v>
      </c>
      <c r="B36" s="66" t="s">
        <v>9</v>
      </c>
      <c r="C36" s="73" t="s">
        <v>508</v>
      </c>
      <c r="D36" s="71" t="s">
        <v>346</v>
      </c>
      <c r="E36" s="217">
        <f>E37</f>
        <v>17076.599999999999</v>
      </c>
      <c r="F36" s="217">
        <f t="shared" si="13"/>
        <v>16670.599999999999</v>
      </c>
      <c r="G36" s="217">
        <f t="shared" si="13"/>
        <v>16518.2</v>
      </c>
      <c r="H36" s="3"/>
      <c r="I36" s="3"/>
      <c r="J36" s="3"/>
      <c r="K36" s="3"/>
      <c r="L36" s="3"/>
      <c r="M36" s="3"/>
    </row>
    <row r="37" spans="1:13" ht="56.25" x14ac:dyDescent="0.25">
      <c r="A37" s="101" t="s">
        <v>361</v>
      </c>
      <c r="B37" s="66" t="s">
        <v>9</v>
      </c>
      <c r="C37" s="73" t="s">
        <v>507</v>
      </c>
      <c r="D37" s="71" t="s">
        <v>347</v>
      </c>
      <c r="E37" s="217">
        <v>17076.599999999999</v>
      </c>
      <c r="F37" s="217">
        <v>16670.599999999999</v>
      </c>
      <c r="G37" s="216">
        <v>16518.2</v>
      </c>
      <c r="H37" s="3"/>
      <c r="I37" s="3"/>
      <c r="J37" s="3"/>
      <c r="K37" s="3"/>
      <c r="L37" s="3"/>
      <c r="M37" s="3"/>
    </row>
    <row r="38" spans="1:13" ht="56.25" x14ac:dyDescent="0.25">
      <c r="A38" s="100" t="s">
        <v>363</v>
      </c>
      <c r="B38" s="64" t="s">
        <v>9</v>
      </c>
      <c r="C38" s="72" t="s">
        <v>391</v>
      </c>
      <c r="D38" s="61" t="s">
        <v>322</v>
      </c>
      <c r="E38" s="65">
        <f>E39</f>
        <v>0</v>
      </c>
      <c r="F38" s="65">
        <f t="shared" ref="F38:G38" si="14">F39</f>
        <v>0</v>
      </c>
      <c r="G38" s="65">
        <f t="shared" si="14"/>
        <v>0</v>
      </c>
      <c r="H38" s="3"/>
      <c r="I38" s="3"/>
      <c r="J38" s="3"/>
      <c r="K38" s="3"/>
      <c r="L38" s="3"/>
      <c r="M38" s="3"/>
    </row>
    <row r="39" spans="1:13" ht="56.25" x14ac:dyDescent="0.25">
      <c r="A39" s="101" t="s">
        <v>362</v>
      </c>
      <c r="B39" s="66" t="s">
        <v>9</v>
      </c>
      <c r="C39" s="73" t="s">
        <v>392</v>
      </c>
      <c r="D39" s="67" t="s">
        <v>321</v>
      </c>
      <c r="E39" s="217">
        <v>0</v>
      </c>
      <c r="F39" s="217">
        <v>0</v>
      </c>
      <c r="G39" s="216">
        <v>0</v>
      </c>
      <c r="H39" s="3"/>
      <c r="I39" s="3"/>
      <c r="J39" s="3"/>
      <c r="K39" s="3"/>
      <c r="L39" s="3"/>
      <c r="M39" s="3"/>
    </row>
    <row r="40" spans="1:13" ht="37.5" x14ac:dyDescent="0.25">
      <c r="A40" s="100" t="s">
        <v>336</v>
      </c>
      <c r="B40" s="64" t="s">
        <v>284</v>
      </c>
      <c r="C40" s="72" t="s">
        <v>393</v>
      </c>
      <c r="D40" s="61" t="s">
        <v>296</v>
      </c>
      <c r="E40" s="65">
        <f>E41+E45</f>
        <v>8891.4</v>
      </c>
      <c r="F40" s="65">
        <f t="shared" ref="F40:G40" si="15">F41+F45</f>
        <v>9256.9000000000015</v>
      </c>
      <c r="G40" s="99">
        <f t="shared" si="15"/>
        <v>9636.0999999999985</v>
      </c>
      <c r="H40" s="3"/>
      <c r="I40" s="3"/>
      <c r="J40" s="3"/>
      <c r="K40" s="3"/>
      <c r="L40" s="3"/>
      <c r="M40" s="3"/>
    </row>
    <row r="41" spans="1:13" ht="56.25" x14ac:dyDescent="0.25">
      <c r="A41" s="100" t="s">
        <v>337</v>
      </c>
      <c r="B41" s="64" t="s">
        <v>284</v>
      </c>
      <c r="C41" s="72" t="s">
        <v>394</v>
      </c>
      <c r="D41" s="61" t="s">
        <v>297</v>
      </c>
      <c r="E41" s="65">
        <f>E42</f>
        <v>2998.4</v>
      </c>
      <c r="F41" s="65">
        <f t="shared" ref="F41:G41" si="16">F42</f>
        <v>3122.2000000000003</v>
      </c>
      <c r="G41" s="99">
        <f t="shared" si="16"/>
        <v>3249.7999999999997</v>
      </c>
      <c r="H41" s="3"/>
      <c r="I41" s="3"/>
      <c r="J41" s="3"/>
      <c r="K41" s="3"/>
      <c r="L41" s="3"/>
      <c r="M41" s="3"/>
    </row>
    <row r="42" spans="1:13" ht="93.75" x14ac:dyDescent="0.25">
      <c r="A42" s="100" t="s">
        <v>338</v>
      </c>
      <c r="B42" s="64" t="s">
        <v>284</v>
      </c>
      <c r="C42" s="72" t="s">
        <v>396</v>
      </c>
      <c r="D42" s="80" t="s">
        <v>298</v>
      </c>
      <c r="E42" s="65">
        <f>E43+E44</f>
        <v>2998.4</v>
      </c>
      <c r="F42" s="65">
        <f t="shared" ref="F42:G42" si="17">F43+F44</f>
        <v>3122.2000000000003</v>
      </c>
      <c r="G42" s="65">
        <f t="shared" si="17"/>
        <v>3249.7999999999997</v>
      </c>
      <c r="H42" s="3"/>
      <c r="I42" s="3"/>
      <c r="J42" s="3"/>
      <c r="K42" s="3"/>
      <c r="L42" s="3"/>
      <c r="M42" s="3"/>
    </row>
    <row r="43" spans="1:13" ht="99" customHeight="1" x14ac:dyDescent="0.25">
      <c r="A43" s="101" t="s">
        <v>339</v>
      </c>
      <c r="B43" s="66" t="s">
        <v>9</v>
      </c>
      <c r="C43" s="73" t="s">
        <v>395</v>
      </c>
      <c r="D43" s="81" t="s">
        <v>299</v>
      </c>
      <c r="E43" s="217">
        <v>2990.3</v>
      </c>
      <c r="F43" s="217">
        <v>3113.8</v>
      </c>
      <c r="G43" s="220">
        <v>3241.1</v>
      </c>
      <c r="H43" s="3"/>
      <c r="I43" s="3"/>
      <c r="J43" s="3"/>
      <c r="K43" s="3"/>
      <c r="L43" s="3"/>
      <c r="M43" s="3"/>
    </row>
    <row r="44" spans="1:13" ht="156.75" customHeight="1" x14ac:dyDescent="0.25">
      <c r="A44" s="101" t="s">
        <v>340</v>
      </c>
      <c r="B44" s="70" t="s">
        <v>9</v>
      </c>
      <c r="C44" s="78" t="s">
        <v>397</v>
      </c>
      <c r="D44" s="102" t="s">
        <v>300</v>
      </c>
      <c r="E44" s="217">
        <v>8.1</v>
      </c>
      <c r="F44" s="217">
        <v>8.4</v>
      </c>
      <c r="G44" s="277">
        <v>8.6999999999999993</v>
      </c>
      <c r="H44" s="3"/>
      <c r="I44" s="3"/>
      <c r="J44" s="3"/>
      <c r="K44" s="3"/>
      <c r="L44" s="3"/>
      <c r="M44" s="3"/>
    </row>
    <row r="45" spans="1:13" ht="64.5" customHeight="1" x14ac:dyDescent="0.25">
      <c r="A45" s="100" t="s">
        <v>341</v>
      </c>
      <c r="B45" s="64" t="s">
        <v>284</v>
      </c>
      <c r="C45" s="72" t="s">
        <v>398</v>
      </c>
      <c r="D45" s="61" t="s">
        <v>354</v>
      </c>
      <c r="E45" s="65">
        <f>E46</f>
        <v>5893</v>
      </c>
      <c r="F45" s="65">
        <f t="shared" ref="F45:G45" si="18">F46</f>
        <v>6134.7000000000007</v>
      </c>
      <c r="G45" s="99">
        <f t="shared" si="18"/>
        <v>6386.2999999999993</v>
      </c>
      <c r="H45" s="3"/>
      <c r="I45" s="3"/>
      <c r="J45" s="3"/>
      <c r="K45" s="3"/>
      <c r="L45" s="3"/>
      <c r="M45" s="3"/>
    </row>
    <row r="46" spans="1:13" ht="114.75" customHeight="1" x14ac:dyDescent="0.25">
      <c r="A46" s="100" t="s">
        <v>342</v>
      </c>
      <c r="B46" s="64" t="s">
        <v>9</v>
      </c>
      <c r="C46" s="72" t="s">
        <v>399</v>
      </c>
      <c r="D46" s="61" t="s">
        <v>301</v>
      </c>
      <c r="E46" s="65">
        <f>E47+E48</f>
        <v>5893</v>
      </c>
      <c r="F46" s="65">
        <f t="shared" ref="F46:G46" si="19">F47+F48</f>
        <v>6134.7000000000007</v>
      </c>
      <c r="G46" s="65">
        <f t="shared" si="19"/>
        <v>6386.2999999999993</v>
      </c>
      <c r="H46" s="3"/>
      <c r="I46" s="3"/>
      <c r="J46" s="3"/>
      <c r="K46" s="3"/>
      <c r="L46" s="3"/>
      <c r="M46" s="3"/>
    </row>
    <row r="47" spans="1:13" ht="54.75" customHeight="1" x14ac:dyDescent="0.25">
      <c r="A47" s="101" t="s">
        <v>343</v>
      </c>
      <c r="B47" s="66" t="s">
        <v>9</v>
      </c>
      <c r="C47" s="73" t="s">
        <v>400</v>
      </c>
      <c r="D47" s="67" t="s">
        <v>302</v>
      </c>
      <c r="E47" s="217">
        <v>4153.2</v>
      </c>
      <c r="F47" s="278">
        <v>4323.6000000000004</v>
      </c>
      <c r="G47" s="277">
        <v>4500.8999999999996</v>
      </c>
      <c r="H47" s="3"/>
      <c r="I47" s="3"/>
      <c r="J47" s="3"/>
      <c r="K47" s="3"/>
      <c r="L47" s="3"/>
      <c r="M47" s="3"/>
    </row>
    <row r="48" spans="1:13" ht="57.75" customHeight="1" x14ac:dyDescent="0.25">
      <c r="A48" s="101" t="s">
        <v>344</v>
      </c>
      <c r="B48" s="66" t="s">
        <v>9</v>
      </c>
      <c r="C48" s="73" t="s">
        <v>401</v>
      </c>
      <c r="D48" s="82" t="s">
        <v>303</v>
      </c>
      <c r="E48" s="217">
        <v>1739.8</v>
      </c>
      <c r="F48" s="278">
        <v>1811.1</v>
      </c>
      <c r="G48" s="277">
        <v>1885.4</v>
      </c>
      <c r="H48" s="3"/>
      <c r="I48" s="3"/>
      <c r="J48" s="3"/>
      <c r="K48" s="3"/>
      <c r="L48" s="3"/>
      <c r="M48" s="3"/>
    </row>
    <row r="49" spans="1:14" ht="19.5" thickBot="1" x14ac:dyDescent="0.3">
      <c r="A49" s="103"/>
      <c r="B49" s="104"/>
      <c r="C49" s="104"/>
      <c r="D49" s="105" t="s">
        <v>304</v>
      </c>
      <c r="E49" s="106">
        <f>SUM(E10+E33)</f>
        <v>46485.2</v>
      </c>
      <c r="F49" s="106">
        <f>SUM(F10+F33)</f>
        <v>42523</v>
      </c>
      <c r="G49" s="107">
        <f>SUM(G10+G33)</f>
        <v>44055.7</v>
      </c>
      <c r="H49" s="3"/>
      <c r="I49" s="68"/>
      <c r="J49" s="3"/>
      <c r="K49" s="3"/>
      <c r="L49" s="3"/>
      <c r="M49" s="3"/>
      <c r="N49" s="85"/>
    </row>
    <row r="50" spans="1:14" ht="15.75" x14ac:dyDescent="0.25">
      <c r="A50" s="1"/>
      <c r="B50" s="1"/>
      <c r="C50" s="1"/>
      <c r="D50" s="83"/>
      <c r="E50" s="84"/>
      <c r="F50" s="88"/>
      <c r="G50" s="43"/>
      <c r="H50" s="3"/>
      <c r="I50" s="3"/>
      <c r="J50" s="3"/>
      <c r="K50" s="3"/>
      <c r="L50" s="3"/>
      <c r="M50" s="3"/>
    </row>
    <row r="51" spans="1:14" x14ac:dyDescent="0.25">
      <c r="F51" s="43"/>
      <c r="G51" s="43"/>
      <c r="H51" s="3"/>
      <c r="I51" s="3"/>
      <c r="J51" s="3"/>
      <c r="K51" s="3"/>
      <c r="L51" s="3"/>
      <c r="M51" s="3"/>
    </row>
    <row r="53" spans="1:14" x14ac:dyDescent="0.25">
      <c r="M53" s="85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28" max="6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57"/>
  <sheetViews>
    <sheetView view="pageBreakPreview" zoomScale="75" zoomScaleNormal="100" zoomScaleSheetLayoutView="75" workbookViewId="0">
      <selection activeCell="C13" sqref="C13"/>
    </sheetView>
  </sheetViews>
  <sheetFormatPr defaultRowHeight="15" x14ac:dyDescent="0.25"/>
  <cols>
    <col min="1" max="1" width="19.5703125" style="45" customWidth="1"/>
    <col min="2" max="2" width="47.28515625" style="45" customWidth="1"/>
    <col min="3" max="3" width="10" style="45" customWidth="1"/>
    <col min="4" max="4" width="14.7109375" style="45" customWidth="1"/>
    <col min="5" max="5" width="16.5703125" style="45" customWidth="1"/>
    <col min="6" max="6" width="15.140625" style="45" customWidth="1"/>
    <col min="7" max="7" width="16" style="118" customWidth="1"/>
    <col min="8" max="8" width="13.28515625" style="45" customWidth="1"/>
    <col min="9" max="9" width="14.28515625" style="108" customWidth="1"/>
  </cols>
  <sheetData>
    <row r="1" spans="1:12" ht="19.5" x14ac:dyDescent="0.35">
      <c r="A1" s="40"/>
      <c r="B1" s="135"/>
      <c r="C1" s="9"/>
      <c r="D1" s="135"/>
      <c r="E1" s="136"/>
      <c r="F1" s="5"/>
      <c r="H1" s="137"/>
      <c r="I1" s="6" t="s">
        <v>358</v>
      </c>
    </row>
    <row r="2" spans="1:12" ht="18.75" x14ac:dyDescent="0.3">
      <c r="A2" s="138"/>
      <c r="B2" s="135"/>
      <c r="C2" s="9"/>
      <c r="D2" s="9"/>
      <c r="E2" s="136"/>
      <c r="F2" s="5"/>
      <c r="H2" s="137"/>
      <c r="I2" s="6" t="s">
        <v>16</v>
      </c>
    </row>
    <row r="3" spans="1:12" ht="18.75" x14ac:dyDescent="0.3">
      <c r="A3" s="138"/>
      <c r="B3" s="139"/>
      <c r="C3" s="5"/>
      <c r="D3" s="5"/>
      <c r="E3" s="5"/>
      <c r="F3" s="5"/>
      <c r="H3" s="137"/>
      <c r="I3" s="6" t="s">
        <v>15</v>
      </c>
    </row>
    <row r="4" spans="1:12" ht="18.75" x14ac:dyDescent="0.3">
      <c r="A4" s="138"/>
      <c r="B4" s="7"/>
      <c r="C4" s="8"/>
      <c r="D4" s="9"/>
      <c r="E4" s="123"/>
      <c r="F4" s="5"/>
      <c r="H4" s="137"/>
      <c r="I4" s="6" t="str">
        <f>Доходы!E4</f>
        <v>от 17 октября 2022 года № 19</v>
      </c>
    </row>
    <row r="5" spans="1:12" ht="18.75" x14ac:dyDescent="0.3">
      <c r="A5" s="140"/>
      <c r="B5" s="7"/>
      <c r="C5" s="141"/>
      <c r="D5" s="142"/>
      <c r="E5" s="143"/>
      <c r="F5" s="112"/>
      <c r="G5" s="302"/>
      <c r="H5" s="302"/>
      <c r="I5" s="302"/>
    </row>
    <row r="6" spans="1:12" ht="35.450000000000003" customHeight="1" x14ac:dyDescent="0.25">
      <c r="A6" s="304" t="s">
        <v>515</v>
      </c>
      <c r="B6" s="305"/>
      <c r="C6" s="305"/>
      <c r="D6" s="305"/>
      <c r="E6" s="305"/>
      <c r="F6" s="305"/>
      <c r="G6" s="305"/>
      <c r="H6" s="305"/>
      <c r="I6" s="305"/>
    </row>
    <row r="7" spans="1:12" ht="19.5" customHeight="1" x14ac:dyDescent="0.25">
      <c r="A7" s="144"/>
      <c r="B7" s="144"/>
      <c r="C7" s="144"/>
      <c r="D7" s="144"/>
      <c r="E7" s="144"/>
      <c r="F7" s="144"/>
      <c r="G7" s="144"/>
      <c r="H7" s="145"/>
      <c r="I7" s="89" t="s">
        <v>308</v>
      </c>
    </row>
    <row r="8" spans="1:12" ht="28.5" customHeight="1" x14ac:dyDescent="0.25">
      <c r="A8" s="306" t="s">
        <v>17</v>
      </c>
      <c r="B8" s="306" t="s">
        <v>18</v>
      </c>
      <c r="C8" s="306" t="s">
        <v>19</v>
      </c>
      <c r="D8" s="306" t="s">
        <v>309</v>
      </c>
      <c r="E8" s="306" t="s">
        <v>20</v>
      </c>
      <c r="F8" s="306" t="s">
        <v>21</v>
      </c>
      <c r="G8" s="308" t="s">
        <v>511</v>
      </c>
      <c r="H8" s="303" t="s">
        <v>307</v>
      </c>
      <c r="I8" s="303"/>
    </row>
    <row r="9" spans="1:12" ht="15.75" customHeight="1" x14ac:dyDescent="0.25">
      <c r="A9" s="307"/>
      <c r="B9" s="307"/>
      <c r="C9" s="307"/>
      <c r="D9" s="307"/>
      <c r="E9" s="307"/>
      <c r="F9" s="307"/>
      <c r="G9" s="309"/>
      <c r="H9" s="121" t="s">
        <v>512</v>
      </c>
      <c r="I9" s="121" t="s">
        <v>513</v>
      </c>
    </row>
    <row r="10" spans="1:12" ht="15.75" x14ac:dyDescent="0.25">
      <c r="A10" s="113">
        <v>1</v>
      </c>
      <c r="B10" s="113">
        <v>2</v>
      </c>
      <c r="C10" s="113" t="s">
        <v>22</v>
      </c>
      <c r="D10" s="113" t="s">
        <v>23</v>
      </c>
      <c r="E10" s="113" t="s">
        <v>24</v>
      </c>
      <c r="F10" s="113" t="s">
        <v>25</v>
      </c>
      <c r="G10" s="114">
        <v>7</v>
      </c>
      <c r="H10" s="120">
        <v>8</v>
      </c>
      <c r="I10" s="120">
        <v>9</v>
      </c>
    </row>
    <row r="11" spans="1:12" ht="73.5" customHeight="1" x14ac:dyDescent="0.3">
      <c r="A11" s="11" t="s">
        <v>26</v>
      </c>
      <c r="B11" s="231" t="s">
        <v>217</v>
      </c>
      <c r="C11" s="12">
        <v>903</v>
      </c>
      <c r="D11" s="13"/>
      <c r="E11" s="13"/>
      <c r="F11" s="13"/>
      <c r="G11" s="198">
        <f>G12+G44+G48+G57+G77+G81+G98+G118+G106+G122</f>
        <v>39294.599999999991</v>
      </c>
      <c r="H11" s="198">
        <f>H12+H44+H48+H57+H77+H81+H98+H118+H106+H122</f>
        <v>37696.5</v>
      </c>
      <c r="I11" s="198">
        <f>I12+I44+I48+I57+I77+I81+I98+I118+I106+I122</f>
        <v>35386.269999999997</v>
      </c>
    </row>
    <row r="12" spans="1:12" ht="20.25" x14ac:dyDescent="0.3">
      <c r="A12" s="14" t="s">
        <v>27</v>
      </c>
      <c r="B12" s="232" t="s">
        <v>28</v>
      </c>
      <c r="C12" s="14" t="s">
        <v>9</v>
      </c>
      <c r="D12" s="14" t="s">
        <v>29</v>
      </c>
      <c r="E12" s="14"/>
      <c r="F12" s="14"/>
      <c r="G12" s="197">
        <f>G13+G23+G26</f>
        <v>21712.699999999997</v>
      </c>
      <c r="H12" s="197">
        <f>H13+H23+H26</f>
        <v>20504.199999999997</v>
      </c>
      <c r="I12" s="197">
        <f>I13+I23+I26</f>
        <v>23772.7</v>
      </c>
    </row>
    <row r="13" spans="1:12" ht="68.25" customHeight="1" x14ac:dyDescent="0.3">
      <c r="A13" s="146" t="s">
        <v>30</v>
      </c>
      <c r="B13" s="233" t="s">
        <v>31</v>
      </c>
      <c r="C13" s="146" t="s">
        <v>9</v>
      </c>
      <c r="D13" s="146" t="s">
        <v>32</v>
      </c>
      <c r="E13" s="146"/>
      <c r="F13" s="146"/>
      <c r="G13" s="195">
        <f>G14+G16+G20</f>
        <v>10008.100000000002</v>
      </c>
      <c r="H13" s="195">
        <f>H14+H16+H20</f>
        <v>9241.0999999999985</v>
      </c>
      <c r="I13" s="195">
        <f>I14+I16+I20</f>
        <v>11154.1</v>
      </c>
    </row>
    <row r="14" spans="1:12" ht="18.75" x14ac:dyDescent="0.3">
      <c r="A14" s="146" t="s">
        <v>33</v>
      </c>
      <c r="B14" s="234" t="s">
        <v>34</v>
      </c>
      <c r="C14" s="146" t="s">
        <v>9</v>
      </c>
      <c r="D14" s="146" t="s">
        <v>32</v>
      </c>
      <c r="E14" s="146" t="s">
        <v>35</v>
      </c>
      <c r="F14" s="146"/>
      <c r="G14" s="195">
        <f t="shared" ref="G14:I14" si="0">G15</f>
        <v>1637.4</v>
      </c>
      <c r="H14" s="195">
        <f t="shared" si="0"/>
        <v>1402.4</v>
      </c>
      <c r="I14" s="195">
        <f t="shared" si="0"/>
        <v>1460.6</v>
      </c>
    </row>
    <row r="15" spans="1:12" ht="95.25" x14ac:dyDescent="0.3">
      <c r="A15" s="146" t="s">
        <v>2</v>
      </c>
      <c r="B15" s="234" t="s">
        <v>36</v>
      </c>
      <c r="C15" s="146" t="s">
        <v>9</v>
      </c>
      <c r="D15" s="146" t="s">
        <v>32</v>
      </c>
      <c r="E15" s="146" t="s">
        <v>35</v>
      </c>
      <c r="F15" s="16" t="s">
        <v>37</v>
      </c>
      <c r="G15" s="192">
        <v>1637.4</v>
      </c>
      <c r="H15" s="193">
        <f>1076.7+325.7</f>
        <v>1402.4</v>
      </c>
      <c r="I15" s="193">
        <f>1120.8+339.8</f>
        <v>1460.6</v>
      </c>
      <c r="K15" t="s">
        <v>579</v>
      </c>
      <c r="L15">
        <v>172.1</v>
      </c>
    </row>
    <row r="16" spans="1:12" ht="79.5" customHeight="1" x14ac:dyDescent="0.3">
      <c r="A16" s="146" t="s">
        <v>3</v>
      </c>
      <c r="B16" s="235" t="s">
        <v>39</v>
      </c>
      <c r="C16" s="16" t="s">
        <v>9</v>
      </c>
      <c r="D16" s="146" t="s">
        <v>32</v>
      </c>
      <c r="E16" s="146" t="s">
        <v>40</v>
      </c>
      <c r="F16" s="146"/>
      <c r="G16" s="195">
        <f>G17+G18+G19</f>
        <v>5380.4000000000005</v>
      </c>
      <c r="H16" s="195">
        <f t="shared" ref="H16:I16" si="1">H17+H18+H19</f>
        <v>4724.8999999999996</v>
      </c>
      <c r="I16" s="195">
        <f t="shared" si="1"/>
        <v>6452.4000000000005</v>
      </c>
    </row>
    <row r="17" spans="1:12" ht="96.75" customHeight="1" x14ac:dyDescent="0.3">
      <c r="A17" s="146" t="s">
        <v>4</v>
      </c>
      <c r="B17" s="234" t="s">
        <v>36</v>
      </c>
      <c r="C17" s="16" t="s">
        <v>9</v>
      </c>
      <c r="D17" s="16" t="s">
        <v>32</v>
      </c>
      <c r="E17" s="146" t="s">
        <v>40</v>
      </c>
      <c r="F17" s="146" t="s">
        <v>37</v>
      </c>
      <c r="G17" s="195">
        <f>130.9+40+193.6+58.5+3509.8+1059.9-960.5</f>
        <v>4032.2000000000007</v>
      </c>
      <c r="H17" s="262">
        <f>3691.2+1114.8-1169.9</f>
        <v>3636.1</v>
      </c>
      <c r="I17" s="193">
        <f>4020.8+1214.3</f>
        <v>5235.1000000000004</v>
      </c>
      <c r="K17" t="s">
        <v>580</v>
      </c>
      <c r="L17">
        <v>6.2</v>
      </c>
    </row>
    <row r="18" spans="1:12" ht="55.5" customHeight="1" x14ac:dyDescent="0.3">
      <c r="A18" s="146" t="s">
        <v>5</v>
      </c>
      <c r="B18" s="236" t="s">
        <v>355</v>
      </c>
      <c r="C18" s="16" t="s">
        <v>9</v>
      </c>
      <c r="D18" s="16" t="s">
        <v>32</v>
      </c>
      <c r="E18" s="146" t="s">
        <v>40</v>
      </c>
      <c r="F18" s="146" t="s">
        <v>44</v>
      </c>
      <c r="G18" s="195">
        <f>1353.9-6.2</f>
        <v>1347.7</v>
      </c>
      <c r="H18" s="262">
        <f>1241.2-39.2-113.2</f>
        <v>1088.8</v>
      </c>
      <c r="I18" s="262">
        <f>1293-75.7</f>
        <v>1217.3</v>
      </c>
    </row>
    <row r="19" spans="1:12" ht="18.75" x14ac:dyDescent="0.3">
      <c r="A19" s="146" t="s">
        <v>278</v>
      </c>
      <c r="B19" s="237" t="s">
        <v>46</v>
      </c>
      <c r="C19" s="16" t="s">
        <v>9</v>
      </c>
      <c r="D19" s="146" t="s">
        <v>32</v>
      </c>
      <c r="E19" s="146" t="s">
        <v>40</v>
      </c>
      <c r="F19" s="146" t="s">
        <v>47</v>
      </c>
      <c r="G19" s="192">
        <v>0.5</v>
      </c>
      <c r="H19" s="54" t="s">
        <v>576</v>
      </c>
      <c r="I19" s="193">
        <v>0</v>
      </c>
    </row>
    <row r="20" spans="1:12" ht="79.5" customHeight="1" x14ac:dyDescent="0.3">
      <c r="A20" s="146" t="s">
        <v>6</v>
      </c>
      <c r="B20" s="238" t="s">
        <v>50</v>
      </c>
      <c r="C20" s="19" t="s">
        <v>9</v>
      </c>
      <c r="D20" s="16" t="s">
        <v>32</v>
      </c>
      <c r="E20" s="16" t="s">
        <v>51</v>
      </c>
      <c r="F20" s="16"/>
      <c r="G20" s="192">
        <f>G21+G22</f>
        <v>2990.3</v>
      </c>
      <c r="H20" s="192">
        <f t="shared" ref="H20:I20" si="2">H21+H22</f>
        <v>3113.8</v>
      </c>
      <c r="I20" s="192">
        <f t="shared" si="2"/>
        <v>3241.1</v>
      </c>
    </row>
    <row r="21" spans="1:12" ht="101.25" customHeight="1" x14ac:dyDescent="0.3">
      <c r="A21" s="146" t="s">
        <v>7</v>
      </c>
      <c r="B21" s="238" t="s">
        <v>36</v>
      </c>
      <c r="C21" s="19" t="s">
        <v>9</v>
      </c>
      <c r="D21" s="16" t="s">
        <v>32</v>
      </c>
      <c r="E21" s="16" t="s">
        <v>51</v>
      </c>
      <c r="F21" s="16" t="s">
        <v>37</v>
      </c>
      <c r="G21" s="192">
        <f>2990.3-300+56</f>
        <v>2746.3</v>
      </c>
      <c r="H21" s="263">
        <f>3113.8-312</f>
        <v>2801.8</v>
      </c>
      <c r="I21" s="263">
        <f>3241.1-324.5</f>
        <v>2916.6</v>
      </c>
    </row>
    <row r="22" spans="1:12" ht="57" customHeight="1" x14ac:dyDescent="0.3">
      <c r="A22" s="146" t="s">
        <v>364</v>
      </c>
      <c r="B22" s="228" t="s">
        <v>355</v>
      </c>
      <c r="C22" s="19" t="s">
        <v>9</v>
      </c>
      <c r="D22" s="16" t="s">
        <v>32</v>
      </c>
      <c r="E22" s="16" t="s">
        <v>51</v>
      </c>
      <c r="F22" s="16" t="s">
        <v>44</v>
      </c>
      <c r="G22" s="192">
        <v>244</v>
      </c>
      <c r="H22" s="263">
        <v>312</v>
      </c>
      <c r="I22" s="193">
        <v>324.5</v>
      </c>
    </row>
    <row r="23" spans="1:12" s="2" customFormat="1" ht="18.75" x14ac:dyDescent="0.3">
      <c r="A23" s="150" t="s">
        <v>38</v>
      </c>
      <c r="B23" s="239" t="s">
        <v>52</v>
      </c>
      <c r="C23" s="20" t="s">
        <v>9</v>
      </c>
      <c r="D23" s="20" t="s">
        <v>53</v>
      </c>
      <c r="E23" s="20"/>
      <c r="F23" s="20"/>
      <c r="G23" s="191">
        <f>G24</f>
        <v>39</v>
      </c>
      <c r="H23" s="191">
        <f t="shared" ref="H23:I23" si="3">H24</f>
        <v>36</v>
      </c>
      <c r="I23" s="191">
        <f t="shared" si="3"/>
        <v>35</v>
      </c>
    </row>
    <row r="24" spans="1:12" ht="18.75" x14ac:dyDescent="0.3">
      <c r="A24" s="146" t="s">
        <v>41</v>
      </c>
      <c r="B24" s="238" t="s">
        <v>159</v>
      </c>
      <c r="C24" s="19" t="s">
        <v>9</v>
      </c>
      <c r="D24" s="16" t="s">
        <v>53</v>
      </c>
      <c r="E24" s="16" t="s">
        <v>54</v>
      </c>
      <c r="F24" s="16"/>
      <c r="G24" s="192">
        <f>G25</f>
        <v>39</v>
      </c>
      <c r="H24" s="192">
        <f t="shared" ref="H24:I24" si="4">H25</f>
        <v>36</v>
      </c>
      <c r="I24" s="192">
        <f t="shared" si="4"/>
        <v>35</v>
      </c>
    </row>
    <row r="25" spans="1:12" ht="22.5" customHeight="1" x14ac:dyDescent="0.3">
      <c r="A25" s="146" t="s">
        <v>55</v>
      </c>
      <c r="B25" s="238" t="s">
        <v>46</v>
      </c>
      <c r="C25" s="19" t="s">
        <v>9</v>
      </c>
      <c r="D25" s="16" t="s">
        <v>53</v>
      </c>
      <c r="E25" s="16" t="s">
        <v>54</v>
      </c>
      <c r="F25" s="16" t="s">
        <v>47</v>
      </c>
      <c r="G25" s="192">
        <v>39</v>
      </c>
      <c r="H25" s="193">
        <v>36</v>
      </c>
      <c r="I25" s="193">
        <v>35</v>
      </c>
    </row>
    <row r="26" spans="1:12" ht="32.25" x14ac:dyDescent="0.3">
      <c r="A26" s="13" t="s">
        <v>8</v>
      </c>
      <c r="B26" s="240" t="s">
        <v>56</v>
      </c>
      <c r="C26" s="151" t="s">
        <v>9</v>
      </c>
      <c r="D26" s="13" t="s">
        <v>57</v>
      </c>
      <c r="E26" s="13"/>
      <c r="F26" s="13"/>
      <c r="G26" s="198">
        <f>G27+G37+G33+G35+G42+G29+G31</f>
        <v>11665.599999999997</v>
      </c>
      <c r="H26" s="198">
        <f>H27+H37+H33+H35+H42+H29+H31</f>
        <v>11227.1</v>
      </c>
      <c r="I26" s="198">
        <f>I27+I37+I33+I35+I42+I29+I31</f>
        <v>12583.6</v>
      </c>
    </row>
    <row r="27" spans="1:12" ht="36" customHeight="1" x14ac:dyDescent="0.3">
      <c r="A27" s="150" t="s">
        <v>58</v>
      </c>
      <c r="B27" s="253" t="s">
        <v>59</v>
      </c>
      <c r="C27" s="186" t="s">
        <v>9</v>
      </c>
      <c r="D27" s="150" t="s">
        <v>57</v>
      </c>
      <c r="E27" s="20" t="s">
        <v>60</v>
      </c>
      <c r="F27" s="150"/>
      <c r="G27" s="280">
        <f>G28</f>
        <v>480</v>
      </c>
      <c r="H27" s="280" t="str">
        <f t="shared" ref="H27:I27" si="5">H28</f>
        <v>499,2</v>
      </c>
      <c r="I27" s="280">
        <f t="shared" si="5"/>
        <v>519.20000000000005</v>
      </c>
    </row>
    <row r="28" spans="1:12" ht="32.25" x14ac:dyDescent="0.3">
      <c r="A28" s="16" t="s">
        <v>61</v>
      </c>
      <c r="B28" s="228" t="s">
        <v>43</v>
      </c>
      <c r="C28" s="19" t="s">
        <v>9</v>
      </c>
      <c r="D28" s="16" t="s">
        <v>57</v>
      </c>
      <c r="E28" s="16" t="s">
        <v>60</v>
      </c>
      <c r="F28" s="16" t="s">
        <v>44</v>
      </c>
      <c r="G28" s="192">
        <v>480</v>
      </c>
      <c r="H28" s="146" t="s">
        <v>453</v>
      </c>
      <c r="I28" s="263">
        <v>519.20000000000005</v>
      </c>
    </row>
    <row r="29" spans="1:12" s="10" customFormat="1" ht="32.25" x14ac:dyDescent="0.3">
      <c r="A29" s="20" t="s">
        <v>62</v>
      </c>
      <c r="B29" s="240" t="s">
        <v>238</v>
      </c>
      <c r="C29" s="25" t="s">
        <v>9</v>
      </c>
      <c r="D29" s="150" t="s">
        <v>57</v>
      </c>
      <c r="E29" s="150" t="s">
        <v>239</v>
      </c>
      <c r="F29" s="150"/>
      <c r="G29" s="264">
        <f>G30</f>
        <v>23.4</v>
      </c>
      <c r="H29" s="264">
        <f t="shared" ref="H29:I31" si="6">H30</f>
        <v>50</v>
      </c>
      <c r="I29" s="264">
        <f t="shared" si="6"/>
        <v>50</v>
      </c>
    </row>
    <row r="30" spans="1:12" s="10" customFormat="1" ht="48" x14ac:dyDescent="0.3">
      <c r="A30" s="16" t="s">
        <v>65</v>
      </c>
      <c r="B30" s="228" t="s">
        <v>355</v>
      </c>
      <c r="C30" s="19" t="s">
        <v>9</v>
      </c>
      <c r="D30" s="146" t="s">
        <v>57</v>
      </c>
      <c r="E30" s="146" t="s">
        <v>239</v>
      </c>
      <c r="F30" s="146" t="s">
        <v>44</v>
      </c>
      <c r="G30" s="195">
        <f>50-26.6</f>
        <v>23.4</v>
      </c>
      <c r="H30" s="263">
        <v>50</v>
      </c>
      <c r="I30" s="263">
        <v>50</v>
      </c>
    </row>
    <row r="31" spans="1:12" s="10" customFormat="1" ht="32.25" x14ac:dyDescent="0.3">
      <c r="A31" s="20" t="s">
        <v>62</v>
      </c>
      <c r="B31" s="240" t="s">
        <v>565</v>
      </c>
      <c r="C31" s="25" t="s">
        <v>9</v>
      </c>
      <c r="D31" s="150" t="s">
        <v>57</v>
      </c>
      <c r="E31" s="150" t="s">
        <v>564</v>
      </c>
      <c r="F31" s="150"/>
      <c r="G31" s="264">
        <f>G32</f>
        <v>503.8</v>
      </c>
      <c r="H31" s="264">
        <f t="shared" si="6"/>
        <v>518</v>
      </c>
      <c r="I31" s="264">
        <f t="shared" si="6"/>
        <v>1018</v>
      </c>
    </row>
    <row r="32" spans="1:12" s="10" customFormat="1" ht="18.75" x14ac:dyDescent="0.3">
      <c r="A32" s="16" t="s">
        <v>65</v>
      </c>
      <c r="B32" s="228" t="s">
        <v>46</v>
      </c>
      <c r="C32" s="19" t="s">
        <v>9</v>
      </c>
      <c r="D32" s="146" t="s">
        <v>57</v>
      </c>
      <c r="E32" s="146" t="s">
        <v>564</v>
      </c>
      <c r="F32" s="146" t="s">
        <v>47</v>
      </c>
      <c r="G32" s="195">
        <v>503.8</v>
      </c>
      <c r="H32" s="263">
        <f>500+18</f>
        <v>518</v>
      </c>
      <c r="I32" s="263">
        <f>1000+18</f>
        <v>1018</v>
      </c>
    </row>
    <row r="33" spans="1:12" ht="46.5" customHeight="1" x14ac:dyDescent="0.3">
      <c r="A33" s="20" t="s">
        <v>66</v>
      </c>
      <c r="B33" s="244" t="s">
        <v>563</v>
      </c>
      <c r="C33" s="25" t="s">
        <v>9</v>
      </c>
      <c r="D33" s="20" t="s">
        <v>57</v>
      </c>
      <c r="E33" s="20" t="s">
        <v>323</v>
      </c>
      <c r="F33" s="20"/>
      <c r="G33" s="191">
        <f>G34</f>
        <v>5</v>
      </c>
      <c r="H33" s="191">
        <v>11</v>
      </c>
      <c r="I33" s="191">
        <f t="shared" ref="I33" si="7">I34</f>
        <v>12</v>
      </c>
    </row>
    <row r="34" spans="1:12" s="10" customFormat="1" ht="48" x14ac:dyDescent="0.3">
      <c r="A34" s="16" t="s">
        <v>67</v>
      </c>
      <c r="B34" s="228" t="s">
        <v>355</v>
      </c>
      <c r="C34" s="19" t="s">
        <v>9</v>
      </c>
      <c r="D34" s="16" t="s">
        <v>57</v>
      </c>
      <c r="E34" s="16" t="s">
        <v>323</v>
      </c>
      <c r="F34" s="16" t="s">
        <v>44</v>
      </c>
      <c r="G34" s="192">
        <f>10-5</f>
        <v>5</v>
      </c>
      <c r="H34" s="54" t="s">
        <v>452</v>
      </c>
      <c r="I34" s="263">
        <v>12</v>
      </c>
      <c r="K34" s="10" t="s">
        <v>580</v>
      </c>
      <c r="L34" s="286">
        <v>5</v>
      </c>
    </row>
    <row r="35" spans="1:12" ht="81" customHeight="1" x14ac:dyDescent="0.3">
      <c r="A35" s="150" t="s">
        <v>68</v>
      </c>
      <c r="B35" s="244" t="s">
        <v>462</v>
      </c>
      <c r="C35" s="20" t="s">
        <v>9</v>
      </c>
      <c r="D35" s="20" t="s">
        <v>57</v>
      </c>
      <c r="E35" s="20" t="s">
        <v>49</v>
      </c>
      <c r="F35" s="20"/>
      <c r="G35" s="191">
        <f>G36</f>
        <v>8.1</v>
      </c>
      <c r="H35" s="191">
        <f t="shared" ref="H35:I35" si="8">H36</f>
        <v>8.4</v>
      </c>
      <c r="I35" s="191">
        <f t="shared" si="8"/>
        <v>8.6999999999999993</v>
      </c>
    </row>
    <row r="36" spans="1:12" ht="49.5" customHeight="1" x14ac:dyDescent="0.3">
      <c r="A36" s="146" t="s">
        <v>365</v>
      </c>
      <c r="B36" s="236" t="s">
        <v>355</v>
      </c>
      <c r="C36" s="16" t="s">
        <v>9</v>
      </c>
      <c r="D36" s="16" t="s">
        <v>57</v>
      </c>
      <c r="E36" s="16" t="s">
        <v>49</v>
      </c>
      <c r="F36" s="16" t="s">
        <v>44</v>
      </c>
      <c r="G36" s="192">
        <v>8.1</v>
      </c>
      <c r="H36" s="263">
        <v>8.4</v>
      </c>
      <c r="I36" s="263">
        <v>8.6999999999999993</v>
      </c>
    </row>
    <row r="37" spans="1:12" ht="80.25" customHeight="1" x14ac:dyDescent="0.3">
      <c r="A37" s="20" t="s">
        <v>406</v>
      </c>
      <c r="B37" s="240" t="s">
        <v>63</v>
      </c>
      <c r="C37" s="25" t="s">
        <v>9</v>
      </c>
      <c r="D37" s="20" t="s">
        <v>57</v>
      </c>
      <c r="E37" s="20" t="s">
        <v>64</v>
      </c>
      <c r="F37" s="20"/>
      <c r="G37" s="191">
        <f>G38+G39+G41+G40</f>
        <v>10645.299999999997</v>
      </c>
      <c r="H37" s="191">
        <f t="shared" ref="H37:I37" si="9">H38+H39+H41+H40</f>
        <v>9266</v>
      </c>
      <c r="I37" s="191">
        <f t="shared" si="9"/>
        <v>9312.5999999999985</v>
      </c>
    </row>
    <row r="38" spans="1:12" ht="96" customHeight="1" x14ac:dyDescent="0.3">
      <c r="A38" s="16" t="s">
        <v>407</v>
      </c>
      <c r="B38" s="241" t="s">
        <v>36</v>
      </c>
      <c r="C38" s="19" t="s">
        <v>9</v>
      </c>
      <c r="D38" s="16" t="s">
        <v>57</v>
      </c>
      <c r="E38" s="21" t="s">
        <v>64</v>
      </c>
      <c r="F38" s="16" t="s">
        <v>37</v>
      </c>
      <c r="G38" s="192">
        <f>499.6+150.9+6224.4+1879.8-38-1255.6-470.5-142.1+1658.6</f>
        <v>8507.0999999999985</v>
      </c>
      <c r="H38" s="263">
        <f>6224.4+1879.8</f>
        <v>8104.2</v>
      </c>
      <c r="I38" s="263">
        <f>6224.4+1879.8</f>
        <v>8104.2</v>
      </c>
      <c r="K38" t="s">
        <v>581</v>
      </c>
      <c r="L38">
        <v>1658.6</v>
      </c>
    </row>
    <row r="39" spans="1:12" ht="49.5" customHeight="1" x14ac:dyDescent="0.3">
      <c r="A39" s="16" t="s">
        <v>418</v>
      </c>
      <c r="B39" s="228" t="s">
        <v>355</v>
      </c>
      <c r="C39" s="19" t="s">
        <v>9</v>
      </c>
      <c r="D39" s="16" t="s">
        <v>57</v>
      </c>
      <c r="E39" s="16" t="s">
        <v>64</v>
      </c>
      <c r="F39" s="16" t="s">
        <v>44</v>
      </c>
      <c r="G39" s="192">
        <f>170.9+322.6+7.2+557.9+1100+30+0.9+28.5+30+46.6+30-223.2</f>
        <v>2101.4</v>
      </c>
      <c r="H39" s="262">
        <v>1161.5</v>
      </c>
      <c r="I39" s="265">
        <v>1208.0999999999999</v>
      </c>
      <c r="K39" t="s">
        <v>582</v>
      </c>
      <c r="L39">
        <v>223.2</v>
      </c>
    </row>
    <row r="40" spans="1:12" ht="49.5" customHeight="1" x14ac:dyDescent="0.3">
      <c r="A40" s="16" t="s">
        <v>419</v>
      </c>
      <c r="B40" s="228" t="s">
        <v>574</v>
      </c>
      <c r="C40" s="19" t="s">
        <v>9</v>
      </c>
      <c r="D40" s="16" t="s">
        <v>57</v>
      </c>
      <c r="E40" s="16" t="s">
        <v>64</v>
      </c>
      <c r="F40" s="16" t="s">
        <v>116</v>
      </c>
      <c r="G40" s="192">
        <f>37-0.6</f>
        <v>36.4</v>
      </c>
      <c r="H40" s="262">
        <v>0</v>
      </c>
      <c r="I40" s="265">
        <v>0</v>
      </c>
      <c r="K40" t="s">
        <v>582</v>
      </c>
      <c r="L40">
        <v>0.6</v>
      </c>
    </row>
    <row r="41" spans="1:12" ht="21.75" customHeight="1" x14ac:dyDescent="0.3">
      <c r="A41" s="16" t="s">
        <v>573</v>
      </c>
      <c r="B41" s="237" t="s">
        <v>46</v>
      </c>
      <c r="C41" s="19" t="s">
        <v>9</v>
      </c>
      <c r="D41" s="16" t="s">
        <v>57</v>
      </c>
      <c r="E41" s="16" t="s">
        <v>64</v>
      </c>
      <c r="F41" s="16" t="s">
        <v>47</v>
      </c>
      <c r="G41" s="192">
        <f>1-0.6</f>
        <v>0.4</v>
      </c>
      <c r="H41" s="193">
        <v>0.3</v>
      </c>
      <c r="I41" s="146" t="s">
        <v>454</v>
      </c>
      <c r="K41" t="s">
        <v>582</v>
      </c>
      <c r="L41">
        <v>0.6</v>
      </c>
    </row>
    <row r="42" spans="1:12" ht="18.75" x14ac:dyDescent="0.3">
      <c r="A42" s="20" t="s">
        <v>420</v>
      </c>
      <c r="B42" s="242" t="s">
        <v>403</v>
      </c>
      <c r="C42" s="25" t="s">
        <v>9</v>
      </c>
      <c r="D42" s="20" t="s">
        <v>57</v>
      </c>
      <c r="E42" s="26" t="s">
        <v>311</v>
      </c>
      <c r="F42" s="20"/>
      <c r="G42" s="191">
        <f>G43</f>
        <v>0</v>
      </c>
      <c r="H42" s="199">
        <f>H43</f>
        <v>874.5</v>
      </c>
      <c r="I42" s="199">
        <f t="shared" ref="I42" si="10">I43</f>
        <v>1663.1</v>
      </c>
    </row>
    <row r="43" spans="1:12" ht="21.75" customHeight="1" x14ac:dyDescent="0.3">
      <c r="A43" s="16" t="s">
        <v>421</v>
      </c>
      <c r="B43" s="228" t="s">
        <v>46</v>
      </c>
      <c r="C43" s="19" t="s">
        <v>9</v>
      </c>
      <c r="D43" s="16" t="s">
        <v>57</v>
      </c>
      <c r="E43" s="21" t="s">
        <v>311</v>
      </c>
      <c r="F43" s="16" t="s">
        <v>47</v>
      </c>
      <c r="G43" s="192">
        <v>0</v>
      </c>
      <c r="H43" s="262">
        <v>874.5</v>
      </c>
      <c r="I43" s="193">
        <v>1663.1</v>
      </c>
    </row>
    <row r="44" spans="1:12" ht="49.15" customHeight="1" x14ac:dyDescent="0.3">
      <c r="A44" s="14" t="s">
        <v>13</v>
      </c>
      <c r="B44" s="239" t="s">
        <v>70</v>
      </c>
      <c r="C44" s="23" t="s">
        <v>9</v>
      </c>
      <c r="D44" s="14" t="s">
        <v>71</v>
      </c>
      <c r="E44" s="14"/>
      <c r="F44" s="14"/>
      <c r="G44" s="197">
        <f>G45</f>
        <v>5</v>
      </c>
      <c r="H44" s="197">
        <f t="shared" ref="H44:I46" si="11">H45</f>
        <v>5.2</v>
      </c>
      <c r="I44" s="197">
        <f t="shared" si="11"/>
        <v>5.5</v>
      </c>
    </row>
    <row r="45" spans="1:12" ht="36" customHeight="1" x14ac:dyDescent="0.3">
      <c r="A45" s="20" t="s">
        <v>11</v>
      </c>
      <c r="B45" s="279" t="s">
        <v>531</v>
      </c>
      <c r="C45" s="25" t="s">
        <v>9</v>
      </c>
      <c r="D45" s="20" t="s">
        <v>72</v>
      </c>
      <c r="E45" s="20"/>
      <c r="F45" s="20"/>
      <c r="G45" s="191">
        <f>G46</f>
        <v>5</v>
      </c>
      <c r="H45" s="191">
        <f t="shared" si="11"/>
        <v>5.2</v>
      </c>
      <c r="I45" s="191">
        <f t="shared" si="11"/>
        <v>5.5</v>
      </c>
    </row>
    <row r="46" spans="1:12" ht="147" customHeight="1" x14ac:dyDescent="0.3">
      <c r="A46" s="16" t="s">
        <v>14</v>
      </c>
      <c r="B46" s="243" t="s">
        <v>73</v>
      </c>
      <c r="C46" s="19" t="s">
        <v>9</v>
      </c>
      <c r="D46" s="16" t="s">
        <v>72</v>
      </c>
      <c r="E46" s="16" t="s">
        <v>74</v>
      </c>
      <c r="F46" s="16"/>
      <c r="G46" s="192">
        <f>G47</f>
        <v>5</v>
      </c>
      <c r="H46" s="192">
        <f t="shared" si="11"/>
        <v>5.2</v>
      </c>
      <c r="I46" s="192">
        <f t="shared" si="11"/>
        <v>5.5</v>
      </c>
    </row>
    <row r="47" spans="1:12" ht="54" customHeight="1" x14ac:dyDescent="0.3">
      <c r="A47" s="16" t="s">
        <v>12</v>
      </c>
      <c r="B47" s="228" t="s">
        <v>355</v>
      </c>
      <c r="C47" s="19" t="s">
        <v>9</v>
      </c>
      <c r="D47" s="16" t="s">
        <v>72</v>
      </c>
      <c r="E47" s="16" t="s">
        <v>74</v>
      </c>
      <c r="F47" s="16" t="s">
        <v>44</v>
      </c>
      <c r="G47" s="192">
        <v>5</v>
      </c>
      <c r="H47" s="193">
        <v>5.2</v>
      </c>
      <c r="I47" s="262">
        <v>5.5</v>
      </c>
    </row>
    <row r="48" spans="1:12" ht="36" customHeight="1" x14ac:dyDescent="0.3">
      <c r="A48" s="14" t="s">
        <v>22</v>
      </c>
      <c r="B48" s="239" t="s">
        <v>75</v>
      </c>
      <c r="C48" s="23" t="s">
        <v>9</v>
      </c>
      <c r="D48" s="14" t="s">
        <v>76</v>
      </c>
      <c r="E48" s="14"/>
      <c r="F48" s="14"/>
      <c r="G48" s="197">
        <f>G52+G49</f>
        <v>10</v>
      </c>
      <c r="H48" s="197">
        <f t="shared" ref="H48:I48" si="12">H52+H49</f>
        <v>10.4</v>
      </c>
      <c r="I48" s="197">
        <f t="shared" si="12"/>
        <v>11</v>
      </c>
    </row>
    <row r="49" spans="1:12" ht="36" customHeight="1" x14ac:dyDescent="0.3">
      <c r="A49" s="20" t="s">
        <v>366</v>
      </c>
      <c r="B49" s="242" t="s">
        <v>460</v>
      </c>
      <c r="C49" s="25" t="s">
        <v>9</v>
      </c>
      <c r="D49" s="20" t="s">
        <v>408</v>
      </c>
      <c r="E49" s="26"/>
      <c r="F49" s="20"/>
      <c r="G49" s="191">
        <f>G50</f>
        <v>0</v>
      </c>
      <c r="H49" s="191">
        <f t="shared" ref="H49:I50" si="13">H50</f>
        <v>0</v>
      </c>
      <c r="I49" s="191">
        <f t="shared" si="13"/>
        <v>0</v>
      </c>
    </row>
    <row r="50" spans="1:12" ht="89.25" customHeight="1" x14ac:dyDescent="0.3">
      <c r="A50" s="20" t="s">
        <v>271</v>
      </c>
      <c r="B50" s="242" t="s">
        <v>543</v>
      </c>
      <c r="C50" s="25" t="s">
        <v>9</v>
      </c>
      <c r="D50" s="20" t="s">
        <v>408</v>
      </c>
      <c r="E50" s="26" t="s">
        <v>409</v>
      </c>
      <c r="F50" s="20"/>
      <c r="G50" s="191">
        <f>G51</f>
        <v>0</v>
      </c>
      <c r="H50" s="191">
        <f t="shared" si="13"/>
        <v>0</v>
      </c>
      <c r="I50" s="191">
        <f t="shared" si="13"/>
        <v>0</v>
      </c>
    </row>
    <row r="51" spans="1:12" ht="54" customHeight="1" x14ac:dyDescent="0.3">
      <c r="A51" s="16" t="s">
        <v>248</v>
      </c>
      <c r="B51" s="228" t="s">
        <v>541</v>
      </c>
      <c r="C51" s="19" t="s">
        <v>9</v>
      </c>
      <c r="D51" s="16" t="s">
        <v>408</v>
      </c>
      <c r="E51" s="21" t="s">
        <v>409</v>
      </c>
      <c r="F51" s="16" t="s">
        <v>542</v>
      </c>
      <c r="G51" s="192">
        <v>0</v>
      </c>
      <c r="H51" s="195">
        <v>0</v>
      </c>
      <c r="I51" s="266">
        <v>0</v>
      </c>
    </row>
    <row r="52" spans="1:12" ht="45" customHeight="1" x14ac:dyDescent="0.3">
      <c r="A52" s="20" t="s">
        <v>167</v>
      </c>
      <c r="B52" s="242" t="s">
        <v>77</v>
      </c>
      <c r="C52" s="25" t="s">
        <v>9</v>
      </c>
      <c r="D52" s="20" t="s">
        <v>78</v>
      </c>
      <c r="E52" s="26"/>
      <c r="F52" s="20"/>
      <c r="G52" s="191">
        <f>G53+G55</f>
        <v>10</v>
      </c>
      <c r="H52" s="191">
        <f t="shared" ref="H52:I52" si="14">H53+H55</f>
        <v>10.4</v>
      </c>
      <c r="I52" s="191">
        <f t="shared" si="14"/>
        <v>11</v>
      </c>
    </row>
    <row r="53" spans="1:12" ht="84" customHeight="1" x14ac:dyDescent="0.3">
      <c r="A53" s="20" t="s">
        <v>169</v>
      </c>
      <c r="B53" s="242" t="s">
        <v>532</v>
      </c>
      <c r="C53" s="25" t="s">
        <v>9</v>
      </c>
      <c r="D53" s="20" t="s">
        <v>78</v>
      </c>
      <c r="E53" s="26" t="s">
        <v>79</v>
      </c>
      <c r="F53" s="20"/>
      <c r="G53" s="191">
        <f>G54</f>
        <v>5</v>
      </c>
      <c r="H53" s="191">
        <f t="shared" ref="H53:I55" si="15">H54</f>
        <v>5.2</v>
      </c>
      <c r="I53" s="191">
        <f t="shared" si="15"/>
        <v>5.5</v>
      </c>
    </row>
    <row r="54" spans="1:12" ht="51" customHeight="1" x14ac:dyDescent="0.3">
      <c r="A54" s="16" t="s">
        <v>319</v>
      </c>
      <c r="B54" s="228" t="s">
        <v>355</v>
      </c>
      <c r="C54" s="19" t="s">
        <v>9</v>
      </c>
      <c r="D54" s="16" t="s">
        <v>78</v>
      </c>
      <c r="E54" s="21" t="s">
        <v>79</v>
      </c>
      <c r="F54" s="16" t="s">
        <v>44</v>
      </c>
      <c r="G54" s="192">
        <v>5</v>
      </c>
      <c r="H54" s="195">
        <v>5.2</v>
      </c>
      <c r="I54" s="266">
        <v>5.5</v>
      </c>
    </row>
    <row r="55" spans="1:12" ht="80.25" customHeight="1" x14ac:dyDescent="0.3">
      <c r="A55" s="20" t="s">
        <v>324</v>
      </c>
      <c r="B55" s="242" t="s">
        <v>533</v>
      </c>
      <c r="C55" s="25" t="s">
        <v>9</v>
      </c>
      <c r="D55" s="20" t="s">
        <v>78</v>
      </c>
      <c r="E55" s="26" t="s">
        <v>310</v>
      </c>
      <c r="F55" s="20"/>
      <c r="G55" s="191">
        <f>G56</f>
        <v>5</v>
      </c>
      <c r="H55" s="191">
        <f t="shared" si="15"/>
        <v>5.2</v>
      </c>
      <c r="I55" s="191">
        <f t="shared" si="15"/>
        <v>5.5</v>
      </c>
    </row>
    <row r="56" spans="1:12" ht="62.25" customHeight="1" x14ac:dyDescent="0.3">
      <c r="A56" s="16" t="s">
        <v>388</v>
      </c>
      <c r="B56" s="228" t="s">
        <v>355</v>
      </c>
      <c r="C56" s="19" t="s">
        <v>9</v>
      </c>
      <c r="D56" s="16" t="s">
        <v>78</v>
      </c>
      <c r="E56" s="21" t="s">
        <v>310</v>
      </c>
      <c r="F56" s="16" t="s">
        <v>44</v>
      </c>
      <c r="G56" s="192">
        <v>5</v>
      </c>
      <c r="H56" s="267">
        <v>5.2</v>
      </c>
      <c r="I56" s="193">
        <v>5.5</v>
      </c>
    </row>
    <row r="57" spans="1:12" ht="32.25" x14ac:dyDescent="0.3">
      <c r="A57" s="14" t="s">
        <v>23</v>
      </c>
      <c r="B57" s="239" t="s">
        <v>80</v>
      </c>
      <c r="C57" s="23" t="s">
        <v>9</v>
      </c>
      <c r="D57" s="14" t="s">
        <v>81</v>
      </c>
      <c r="E57" s="24"/>
      <c r="F57" s="14"/>
      <c r="G57" s="197">
        <f>G58</f>
        <v>5761.2</v>
      </c>
      <c r="H57" s="197">
        <f t="shared" ref="H57:I57" si="16">H58</f>
        <v>7746.6999999999989</v>
      </c>
      <c r="I57" s="197">
        <f t="shared" si="16"/>
        <v>1825.0000000000002</v>
      </c>
    </row>
    <row r="58" spans="1:12" ht="18.75" x14ac:dyDescent="0.3">
      <c r="A58" s="20" t="s">
        <v>272</v>
      </c>
      <c r="B58" s="239" t="s">
        <v>82</v>
      </c>
      <c r="C58" s="25" t="s">
        <v>9</v>
      </c>
      <c r="D58" s="20" t="s">
        <v>83</v>
      </c>
      <c r="E58" s="26"/>
      <c r="F58" s="20"/>
      <c r="G58" s="191">
        <f>G59+G61+G63+G65+G67+G69+G71+G75</f>
        <v>5761.2</v>
      </c>
      <c r="H58" s="191">
        <f>H59+H61+H63+H65+H67+H69+H71+H74+H75</f>
        <v>7746.6999999999989</v>
      </c>
      <c r="I58" s="191">
        <f>I59+I61+I63+I65+I67+I69+I71+I74+I75</f>
        <v>1825.0000000000002</v>
      </c>
    </row>
    <row r="59" spans="1:12" ht="36" customHeight="1" x14ac:dyDescent="0.3">
      <c r="A59" s="20" t="s">
        <v>273</v>
      </c>
      <c r="B59" s="244" t="s">
        <v>534</v>
      </c>
      <c r="C59" s="25" t="s">
        <v>9</v>
      </c>
      <c r="D59" s="20" t="s">
        <v>83</v>
      </c>
      <c r="E59" s="26" t="s">
        <v>84</v>
      </c>
      <c r="F59" s="20"/>
      <c r="G59" s="191">
        <f>G60</f>
        <v>8.6</v>
      </c>
      <c r="H59" s="191">
        <f t="shared" ref="H59:I59" si="17">H60</f>
        <v>0</v>
      </c>
      <c r="I59" s="191">
        <f t="shared" si="17"/>
        <v>0</v>
      </c>
    </row>
    <row r="60" spans="1:12" ht="51" customHeight="1" x14ac:dyDescent="0.3">
      <c r="A60" s="16" t="s">
        <v>249</v>
      </c>
      <c r="B60" s="228" t="s">
        <v>355</v>
      </c>
      <c r="C60" s="16" t="s">
        <v>9</v>
      </c>
      <c r="D60" s="16" t="s">
        <v>83</v>
      </c>
      <c r="E60" s="21" t="s">
        <v>84</v>
      </c>
      <c r="F60" s="16" t="s">
        <v>44</v>
      </c>
      <c r="G60" s="192">
        <v>8.6</v>
      </c>
      <c r="H60" s="263">
        <v>0</v>
      </c>
      <c r="I60" s="263">
        <v>0</v>
      </c>
      <c r="K60" t="s">
        <v>579</v>
      </c>
      <c r="L60">
        <v>8.6</v>
      </c>
    </row>
    <row r="61" spans="1:12" ht="85.5" customHeight="1" x14ac:dyDescent="0.3">
      <c r="A61" s="20" t="s">
        <v>241</v>
      </c>
      <c r="B61" s="244" t="s">
        <v>535</v>
      </c>
      <c r="C61" s="20" t="s">
        <v>9</v>
      </c>
      <c r="D61" s="20" t="s">
        <v>83</v>
      </c>
      <c r="E61" s="26" t="s">
        <v>211</v>
      </c>
      <c r="F61" s="20"/>
      <c r="G61" s="191">
        <f>G62</f>
        <v>80.5</v>
      </c>
      <c r="H61" s="191">
        <f t="shared" ref="H61:I61" si="18">H62</f>
        <v>108.4</v>
      </c>
      <c r="I61" s="191">
        <f t="shared" si="18"/>
        <v>112.7</v>
      </c>
    </row>
    <row r="62" spans="1:12" ht="51.75" customHeight="1" x14ac:dyDescent="0.3">
      <c r="A62" s="16" t="s">
        <v>250</v>
      </c>
      <c r="B62" s="228" t="s">
        <v>355</v>
      </c>
      <c r="C62" s="16" t="s">
        <v>9</v>
      </c>
      <c r="D62" s="16" t="s">
        <v>83</v>
      </c>
      <c r="E62" s="21" t="s">
        <v>211</v>
      </c>
      <c r="F62" s="16" t="s">
        <v>44</v>
      </c>
      <c r="G62" s="192">
        <f>48+100-67.5</f>
        <v>80.5</v>
      </c>
      <c r="H62" s="263">
        <v>108.4</v>
      </c>
      <c r="I62" s="263">
        <v>112.7</v>
      </c>
      <c r="K62" t="s">
        <v>582</v>
      </c>
      <c r="L62">
        <v>67.5</v>
      </c>
    </row>
    <row r="63" spans="1:12" s="2" customFormat="1" ht="61.5" customHeight="1" x14ac:dyDescent="0.3">
      <c r="A63" s="20" t="s">
        <v>242</v>
      </c>
      <c r="B63" s="244" t="s">
        <v>536</v>
      </c>
      <c r="C63" s="25" t="s">
        <v>9</v>
      </c>
      <c r="D63" s="20" t="s">
        <v>83</v>
      </c>
      <c r="E63" s="26" t="s">
        <v>85</v>
      </c>
      <c r="F63" s="20"/>
      <c r="G63" s="191">
        <f>G64</f>
        <v>3139.1</v>
      </c>
      <c r="H63" s="191">
        <f t="shared" ref="H63:I63" si="19">H64</f>
        <v>578.70000000000005</v>
      </c>
      <c r="I63" s="191">
        <f t="shared" si="19"/>
        <v>601.79999999999995</v>
      </c>
    </row>
    <row r="64" spans="1:12" ht="54" customHeight="1" x14ac:dyDescent="0.3">
      <c r="A64" s="16" t="s">
        <v>251</v>
      </c>
      <c r="B64" s="228" t="s">
        <v>355</v>
      </c>
      <c r="C64" s="19" t="s">
        <v>9</v>
      </c>
      <c r="D64" s="16" t="s">
        <v>83</v>
      </c>
      <c r="E64" s="21" t="s">
        <v>85</v>
      </c>
      <c r="F64" s="16" t="s">
        <v>44</v>
      </c>
      <c r="G64" s="192">
        <f>556.3+454.1+2233.7-105</f>
        <v>3139.1</v>
      </c>
      <c r="H64" s="262">
        <v>578.70000000000005</v>
      </c>
      <c r="I64" s="262">
        <v>601.79999999999995</v>
      </c>
    </row>
    <row r="65" spans="1:12" s="2" customFormat="1" ht="32.25" x14ac:dyDescent="0.3">
      <c r="A65" s="20" t="s">
        <v>243</v>
      </c>
      <c r="B65" s="244" t="s">
        <v>577</v>
      </c>
      <c r="C65" s="25" t="s">
        <v>9</v>
      </c>
      <c r="D65" s="20" t="s">
        <v>83</v>
      </c>
      <c r="E65" s="26" t="s">
        <v>212</v>
      </c>
      <c r="F65" s="20"/>
      <c r="G65" s="191">
        <f>G66</f>
        <v>54.500000000000014</v>
      </c>
      <c r="H65" s="191">
        <f t="shared" ref="H65:I65" si="20">H66</f>
        <v>95.2</v>
      </c>
      <c r="I65" s="191">
        <f t="shared" si="20"/>
        <v>99.1</v>
      </c>
    </row>
    <row r="66" spans="1:12" ht="48" x14ac:dyDescent="0.3">
      <c r="A66" s="16" t="s">
        <v>252</v>
      </c>
      <c r="B66" s="228" t="s">
        <v>355</v>
      </c>
      <c r="C66" s="19" t="s">
        <v>9</v>
      </c>
      <c r="D66" s="16" t="s">
        <v>83</v>
      </c>
      <c r="E66" s="21" t="s">
        <v>212</v>
      </c>
      <c r="F66" s="16" t="s">
        <v>44</v>
      </c>
      <c r="G66" s="192">
        <f>46.3+100-91.8</f>
        <v>54.500000000000014</v>
      </c>
      <c r="H66" s="263">
        <v>95.2</v>
      </c>
      <c r="I66" s="193">
        <v>99.1</v>
      </c>
      <c r="K66" t="s">
        <v>582</v>
      </c>
      <c r="L66" s="287">
        <v>91.8</v>
      </c>
    </row>
    <row r="67" spans="1:12" s="2" customFormat="1" ht="80.25" customHeight="1" x14ac:dyDescent="0.3">
      <c r="A67" s="20" t="s">
        <v>244</v>
      </c>
      <c r="B67" s="244" t="s">
        <v>537</v>
      </c>
      <c r="C67" s="25" t="s">
        <v>9</v>
      </c>
      <c r="D67" s="20" t="s">
        <v>83</v>
      </c>
      <c r="E67" s="26" t="s">
        <v>213</v>
      </c>
      <c r="F67" s="20"/>
      <c r="G67" s="191">
        <f>G68</f>
        <v>1404.2</v>
      </c>
      <c r="H67" s="191">
        <f t="shared" ref="H67:I67" si="21">H68</f>
        <v>813.6</v>
      </c>
      <c r="I67" s="191">
        <f t="shared" si="21"/>
        <v>854.3</v>
      </c>
    </row>
    <row r="68" spans="1:12" ht="54.75" customHeight="1" x14ac:dyDescent="0.3">
      <c r="A68" s="16" t="s">
        <v>253</v>
      </c>
      <c r="B68" s="228" t="s">
        <v>355</v>
      </c>
      <c r="C68" s="19" t="s">
        <v>9</v>
      </c>
      <c r="D68" s="16" t="s">
        <v>83</v>
      </c>
      <c r="E68" s="21" t="s">
        <v>213</v>
      </c>
      <c r="F68" s="16" t="s">
        <v>44</v>
      </c>
      <c r="G68" s="192">
        <f>404.2+1000</f>
        <v>1404.2</v>
      </c>
      <c r="H68" s="263">
        <v>813.6</v>
      </c>
      <c r="I68" s="263">
        <v>854.3</v>
      </c>
    </row>
    <row r="69" spans="1:12" ht="52.5" customHeight="1" x14ac:dyDescent="0.3">
      <c r="A69" s="20" t="s">
        <v>245</v>
      </c>
      <c r="B69" s="244" t="s">
        <v>538</v>
      </c>
      <c r="C69" s="25" t="s">
        <v>9</v>
      </c>
      <c r="D69" s="20" t="s">
        <v>83</v>
      </c>
      <c r="E69" s="26" t="s">
        <v>214</v>
      </c>
      <c r="F69" s="20"/>
      <c r="G69" s="191">
        <f>G70</f>
        <v>1064.3</v>
      </c>
      <c r="H69" s="191">
        <f t="shared" ref="H69:I69" si="22">H70</f>
        <v>6140.4</v>
      </c>
      <c r="I69" s="191">
        <f t="shared" si="22"/>
        <v>146.19999999999999</v>
      </c>
    </row>
    <row r="70" spans="1:12" ht="48" x14ac:dyDescent="0.3">
      <c r="A70" s="16" t="s">
        <v>254</v>
      </c>
      <c r="B70" s="228" t="s">
        <v>355</v>
      </c>
      <c r="C70" s="19" t="s">
        <v>9</v>
      </c>
      <c r="D70" s="16" t="s">
        <v>83</v>
      </c>
      <c r="E70" s="21" t="s">
        <v>214</v>
      </c>
      <c r="F70" s="16" t="s">
        <v>44</v>
      </c>
      <c r="G70" s="192">
        <f>135+330.3+300+300+70-61.7-9.3</f>
        <v>1064.3</v>
      </c>
      <c r="H70" s="276">
        <f>5140.4+1000</f>
        <v>6140.4</v>
      </c>
      <c r="I70" s="263">
        <v>146.19999999999999</v>
      </c>
      <c r="K70" t="s">
        <v>582</v>
      </c>
      <c r="L70">
        <f>61.7+9.3</f>
        <v>71</v>
      </c>
    </row>
    <row r="71" spans="1:12" ht="61.5" customHeight="1" x14ac:dyDescent="0.3">
      <c r="A71" s="20" t="s">
        <v>246</v>
      </c>
      <c r="B71" s="239" t="s">
        <v>539</v>
      </c>
      <c r="C71" s="25" t="s">
        <v>9</v>
      </c>
      <c r="D71" s="20" t="s">
        <v>83</v>
      </c>
      <c r="E71" s="26" t="s">
        <v>467</v>
      </c>
      <c r="F71" s="20"/>
      <c r="G71" s="191">
        <f>G72+G73+G74</f>
        <v>-2.8421709430404007E-13</v>
      </c>
      <c r="H71" s="191">
        <f t="shared" ref="H71:I71" si="23">H72</f>
        <v>0</v>
      </c>
      <c r="I71" s="191">
        <f t="shared" si="23"/>
        <v>0</v>
      </c>
    </row>
    <row r="72" spans="1:12" ht="55.5" customHeight="1" x14ac:dyDescent="0.3">
      <c r="A72" s="16" t="s">
        <v>255</v>
      </c>
      <c r="B72" s="228" t="s">
        <v>355</v>
      </c>
      <c r="C72" s="19" t="s">
        <v>9</v>
      </c>
      <c r="D72" s="16" t="s">
        <v>83</v>
      </c>
      <c r="E72" s="21" t="s">
        <v>86</v>
      </c>
      <c r="F72" s="16" t="s">
        <v>44</v>
      </c>
      <c r="G72" s="192">
        <f>2479.6+105-2429.8-154.8</f>
        <v>-2.8421709430404007E-13</v>
      </c>
      <c r="H72" s="196">
        <v>0</v>
      </c>
      <c r="I72" s="196">
        <v>0</v>
      </c>
      <c r="K72" t="s">
        <v>580</v>
      </c>
      <c r="L72">
        <v>154.80000000000001</v>
      </c>
    </row>
    <row r="73" spans="1:12" ht="48" customHeight="1" x14ac:dyDescent="0.3">
      <c r="A73" s="16" t="s">
        <v>463</v>
      </c>
      <c r="B73" s="228" t="s">
        <v>355</v>
      </c>
      <c r="C73" s="19" t="s">
        <v>9</v>
      </c>
      <c r="D73" s="16" t="s">
        <v>83</v>
      </c>
      <c r="E73" s="21" t="s">
        <v>465</v>
      </c>
      <c r="F73" s="16" t="s">
        <v>44</v>
      </c>
      <c r="G73" s="192">
        <v>0</v>
      </c>
      <c r="H73" s="196">
        <v>0</v>
      </c>
      <c r="I73" s="196">
        <v>0</v>
      </c>
    </row>
    <row r="74" spans="1:12" ht="55.5" customHeight="1" x14ac:dyDescent="0.3">
      <c r="A74" s="16" t="s">
        <v>464</v>
      </c>
      <c r="B74" s="228" t="s">
        <v>526</v>
      </c>
      <c r="C74" s="19" t="s">
        <v>9</v>
      </c>
      <c r="D74" s="16" t="s">
        <v>83</v>
      </c>
      <c r="E74" s="21" t="s">
        <v>466</v>
      </c>
      <c r="F74" s="16" t="s">
        <v>44</v>
      </c>
      <c r="G74" s="192">
        <v>0</v>
      </c>
      <c r="H74" s="192">
        <v>0</v>
      </c>
      <c r="I74" s="193">
        <v>0</v>
      </c>
    </row>
    <row r="75" spans="1:12" ht="127.5" customHeight="1" x14ac:dyDescent="0.3">
      <c r="A75" s="20" t="s">
        <v>414</v>
      </c>
      <c r="B75" s="222" t="s">
        <v>540</v>
      </c>
      <c r="C75" s="25" t="s">
        <v>9</v>
      </c>
      <c r="D75" s="20" t="s">
        <v>83</v>
      </c>
      <c r="E75" s="26" t="s">
        <v>413</v>
      </c>
      <c r="F75" s="16"/>
      <c r="G75" s="191">
        <f>G76</f>
        <v>10</v>
      </c>
      <c r="H75" s="191" t="str">
        <f t="shared" ref="H75:I75" si="24">H76</f>
        <v>10,4</v>
      </c>
      <c r="I75" s="191">
        <f t="shared" si="24"/>
        <v>10.9</v>
      </c>
    </row>
    <row r="76" spans="1:12" ht="51.75" customHeight="1" x14ac:dyDescent="0.3">
      <c r="A76" s="16" t="s">
        <v>415</v>
      </c>
      <c r="B76" s="228" t="s">
        <v>355</v>
      </c>
      <c r="C76" s="19" t="s">
        <v>9</v>
      </c>
      <c r="D76" s="16" t="s">
        <v>83</v>
      </c>
      <c r="E76" s="21" t="s">
        <v>413</v>
      </c>
      <c r="F76" s="16" t="s">
        <v>44</v>
      </c>
      <c r="G76" s="192">
        <v>10</v>
      </c>
      <c r="H76" s="268" t="s">
        <v>455</v>
      </c>
      <c r="I76" s="269">
        <v>10.9</v>
      </c>
    </row>
    <row r="77" spans="1:12" ht="20.25" x14ac:dyDescent="0.3">
      <c r="A77" s="14" t="s">
        <v>24</v>
      </c>
      <c r="B77" s="244" t="s">
        <v>87</v>
      </c>
      <c r="C77" s="23" t="s">
        <v>9</v>
      </c>
      <c r="D77" s="14" t="s">
        <v>88</v>
      </c>
      <c r="E77" s="24"/>
      <c r="F77" s="14"/>
      <c r="G77" s="197">
        <f>G79</f>
        <v>5</v>
      </c>
      <c r="H77" s="197">
        <f t="shared" ref="H77:I77" si="25">H79</f>
        <v>5.2</v>
      </c>
      <c r="I77" s="197">
        <f t="shared" si="25"/>
        <v>5.5</v>
      </c>
    </row>
    <row r="78" spans="1:12" ht="42" customHeight="1" x14ac:dyDescent="0.3">
      <c r="A78" s="20" t="s">
        <v>176</v>
      </c>
      <c r="B78" s="244" t="s">
        <v>89</v>
      </c>
      <c r="C78" s="25" t="s">
        <v>9</v>
      </c>
      <c r="D78" s="20" t="s">
        <v>90</v>
      </c>
      <c r="E78" s="26"/>
      <c r="F78" s="20"/>
      <c r="G78" s="191">
        <f>G79</f>
        <v>5</v>
      </c>
      <c r="H78" s="191">
        <f t="shared" ref="H78:I79" si="26">H79</f>
        <v>5.2</v>
      </c>
      <c r="I78" s="191">
        <f t="shared" si="26"/>
        <v>5.5</v>
      </c>
    </row>
    <row r="79" spans="1:12" ht="65.25" customHeight="1" x14ac:dyDescent="0.3">
      <c r="A79" s="16" t="s">
        <v>177</v>
      </c>
      <c r="B79" s="228" t="s">
        <v>561</v>
      </c>
      <c r="C79" s="19" t="s">
        <v>9</v>
      </c>
      <c r="D79" s="16" t="s">
        <v>90</v>
      </c>
      <c r="E79" s="21" t="s">
        <v>91</v>
      </c>
      <c r="F79" s="16"/>
      <c r="G79" s="192">
        <f>G80</f>
        <v>5</v>
      </c>
      <c r="H79" s="192">
        <f t="shared" si="26"/>
        <v>5.2</v>
      </c>
      <c r="I79" s="192">
        <f t="shared" si="26"/>
        <v>5.5</v>
      </c>
    </row>
    <row r="80" spans="1:12" ht="57.75" customHeight="1" x14ac:dyDescent="0.3">
      <c r="A80" s="16" t="s">
        <v>256</v>
      </c>
      <c r="B80" s="228" t="s">
        <v>355</v>
      </c>
      <c r="C80" s="19" t="s">
        <v>9</v>
      </c>
      <c r="D80" s="16" t="s">
        <v>90</v>
      </c>
      <c r="E80" s="21" t="s">
        <v>91</v>
      </c>
      <c r="F80" s="16" t="s">
        <v>44</v>
      </c>
      <c r="G80" s="192">
        <v>5</v>
      </c>
      <c r="H80" s="270">
        <v>5.2</v>
      </c>
      <c r="I80" s="271">
        <v>5.5</v>
      </c>
    </row>
    <row r="81" spans="1:9" ht="20.25" x14ac:dyDescent="0.3">
      <c r="A81" s="14" t="s">
        <v>25</v>
      </c>
      <c r="B81" s="244" t="s">
        <v>92</v>
      </c>
      <c r="C81" s="23" t="s">
        <v>9</v>
      </c>
      <c r="D81" s="14" t="s">
        <v>93</v>
      </c>
      <c r="E81" s="14"/>
      <c r="F81" s="14"/>
      <c r="G81" s="197">
        <f>G82+G85</f>
        <v>63.6</v>
      </c>
      <c r="H81" s="197">
        <f t="shared" ref="H81:I81" si="27">H82+H85</f>
        <v>66.3</v>
      </c>
      <c r="I81" s="197">
        <f t="shared" si="27"/>
        <v>69.3</v>
      </c>
    </row>
    <row r="82" spans="1:9" ht="47.25" x14ac:dyDescent="0.3">
      <c r="A82" s="20" t="s">
        <v>274</v>
      </c>
      <c r="B82" s="245" t="s">
        <v>94</v>
      </c>
      <c r="C82" s="25" t="s">
        <v>9</v>
      </c>
      <c r="D82" s="20" t="s">
        <v>95</v>
      </c>
      <c r="E82" s="20"/>
      <c r="F82" s="20"/>
      <c r="G82" s="191">
        <f>G83</f>
        <v>38.200000000000003</v>
      </c>
      <c r="H82" s="191" t="str">
        <f t="shared" ref="H82:I83" si="28">H83</f>
        <v>39,8</v>
      </c>
      <c r="I82" s="191" t="str">
        <f t="shared" si="28"/>
        <v>41,4</v>
      </c>
    </row>
    <row r="83" spans="1:9" ht="18.75" x14ac:dyDescent="0.3">
      <c r="A83" s="16" t="s">
        <v>275</v>
      </c>
      <c r="B83" s="228" t="s">
        <v>96</v>
      </c>
      <c r="C83" s="19" t="s">
        <v>9</v>
      </c>
      <c r="D83" s="16" t="s">
        <v>95</v>
      </c>
      <c r="E83" s="16" t="s">
        <v>97</v>
      </c>
      <c r="F83" s="16"/>
      <c r="G83" s="192">
        <f>G84</f>
        <v>38.200000000000003</v>
      </c>
      <c r="H83" s="192" t="str">
        <f t="shared" si="28"/>
        <v>39,8</v>
      </c>
      <c r="I83" s="192" t="str">
        <f t="shared" si="28"/>
        <v>41,4</v>
      </c>
    </row>
    <row r="84" spans="1:9" ht="54" customHeight="1" x14ac:dyDescent="0.3">
      <c r="A84" s="16" t="s">
        <v>257</v>
      </c>
      <c r="B84" s="228" t="s">
        <v>355</v>
      </c>
      <c r="C84" s="19" t="s">
        <v>9</v>
      </c>
      <c r="D84" s="16" t="s">
        <v>95</v>
      </c>
      <c r="E84" s="16" t="s">
        <v>97</v>
      </c>
      <c r="F84" s="16" t="s">
        <v>44</v>
      </c>
      <c r="G84" s="192">
        <v>38.200000000000003</v>
      </c>
      <c r="H84" s="54" t="s">
        <v>509</v>
      </c>
      <c r="I84" s="146" t="s">
        <v>510</v>
      </c>
    </row>
    <row r="85" spans="1:9" ht="35.25" customHeight="1" x14ac:dyDescent="0.3">
      <c r="A85" s="20" t="s">
        <v>443</v>
      </c>
      <c r="B85" s="244" t="s">
        <v>100</v>
      </c>
      <c r="C85" s="25" t="s">
        <v>9</v>
      </c>
      <c r="D85" s="20" t="s">
        <v>101</v>
      </c>
      <c r="E85" s="20"/>
      <c r="F85" s="20"/>
      <c r="G85" s="191">
        <f>G96+G94+G92+G90+G88+G86</f>
        <v>25.4</v>
      </c>
      <c r="H85" s="191">
        <f t="shared" ref="H85:I85" si="29">H96+H94+H92+H90+H88+H86</f>
        <v>26.5</v>
      </c>
      <c r="I85" s="191">
        <f t="shared" si="29"/>
        <v>27.900000000000002</v>
      </c>
    </row>
    <row r="86" spans="1:9" ht="78.75" customHeight="1" x14ac:dyDescent="0.3">
      <c r="A86" s="20" t="s">
        <v>183</v>
      </c>
      <c r="B86" s="244" t="s">
        <v>544</v>
      </c>
      <c r="C86" s="25" t="s">
        <v>9</v>
      </c>
      <c r="D86" s="20" t="s">
        <v>101</v>
      </c>
      <c r="E86" s="20" t="s">
        <v>99</v>
      </c>
      <c r="F86" s="20"/>
      <c r="G86" s="191">
        <f>G87</f>
        <v>2.4</v>
      </c>
      <c r="H86" s="191" t="str">
        <f>H87</f>
        <v>2,5</v>
      </c>
      <c r="I86" s="191">
        <f>I87</f>
        <v>2.6</v>
      </c>
    </row>
    <row r="87" spans="1:9" ht="51" customHeight="1" x14ac:dyDescent="0.3">
      <c r="A87" s="16" t="s">
        <v>258</v>
      </c>
      <c r="B87" s="228" t="s">
        <v>355</v>
      </c>
      <c r="C87" s="19" t="s">
        <v>9</v>
      </c>
      <c r="D87" s="16" t="s">
        <v>101</v>
      </c>
      <c r="E87" s="16" t="s">
        <v>99</v>
      </c>
      <c r="F87" s="16" t="s">
        <v>44</v>
      </c>
      <c r="G87" s="192">
        <v>2.4</v>
      </c>
      <c r="H87" s="146" t="s">
        <v>505</v>
      </c>
      <c r="I87" s="193">
        <v>2.6</v>
      </c>
    </row>
    <row r="88" spans="1:9" ht="97.5" customHeight="1" x14ac:dyDescent="0.3">
      <c r="A88" s="20" t="s">
        <v>185</v>
      </c>
      <c r="B88" s="244" t="s">
        <v>545</v>
      </c>
      <c r="C88" s="25" t="s">
        <v>9</v>
      </c>
      <c r="D88" s="25" t="s">
        <v>101</v>
      </c>
      <c r="E88" s="20" t="s">
        <v>102</v>
      </c>
      <c r="F88" s="20"/>
      <c r="G88" s="191">
        <f>G89</f>
        <v>5</v>
      </c>
      <c r="H88" s="191">
        <f t="shared" ref="H88:I88" si="30">H89</f>
        <v>5.2</v>
      </c>
      <c r="I88" s="191">
        <f t="shared" si="30"/>
        <v>5.5</v>
      </c>
    </row>
    <row r="89" spans="1:9" ht="51" customHeight="1" x14ac:dyDescent="0.3">
      <c r="A89" s="16" t="s">
        <v>259</v>
      </c>
      <c r="B89" s="228" t="s">
        <v>355</v>
      </c>
      <c r="C89" s="19" t="s">
        <v>9</v>
      </c>
      <c r="D89" s="19" t="s">
        <v>101</v>
      </c>
      <c r="E89" s="16" t="s">
        <v>102</v>
      </c>
      <c r="F89" s="16" t="s">
        <v>44</v>
      </c>
      <c r="G89" s="192">
        <v>5</v>
      </c>
      <c r="H89" s="195">
        <v>5.2</v>
      </c>
      <c r="I89" s="193">
        <v>5.5</v>
      </c>
    </row>
    <row r="90" spans="1:9" ht="176.25" customHeight="1" x14ac:dyDescent="0.3">
      <c r="A90" s="20" t="s">
        <v>276</v>
      </c>
      <c r="B90" s="279" t="s">
        <v>546</v>
      </c>
      <c r="C90" s="25" t="s">
        <v>9</v>
      </c>
      <c r="D90" s="20" t="s">
        <v>101</v>
      </c>
      <c r="E90" s="20" t="s">
        <v>69</v>
      </c>
      <c r="F90" s="20"/>
      <c r="G90" s="191">
        <f>G91</f>
        <v>5</v>
      </c>
      <c r="H90" s="191">
        <f t="shared" ref="H90:I90" si="31">H91</f>
        <v>5.2</v>
      </c>
      <c r="I90" s="191">
        <f t="shared" si="31"/>
        <v>5.5</v>
      </c>
    </row>
    <row r="91" spans="1:9" ht="56.25" customHeight="1" x14ac:dyDescent="0.3">
      <c r="A91" s="16" t="s">
        <v>260</v>
      </c>
      <c r="B91" s="228" t="s">
        <v>355</v>
      </c>
      <c r="C91" s="19" t="s">
        <v>9</v>
      </c>
      <c r="D91" s="16" t="s">
        <v>101</v>
      </c>
      <c r="E91" s="16" t="s">
        <v>69</v>
      </c>
      <c r="F91" s="16" t="s">
        <v>44</v>
      </c>
      <c r="G91" s="192">
        <v>5</v>
      </c>
      <c r="H91" s="193">
        <v>5.2</v>
      </c>
      <c r="I91" s="193">
        <v>5.5</v>
      </c>
    </row>
    <row r="92" spans="1:9" ht="102.75" customHeight="1" x14ac:dyDescent="0.3">
      <c r="A92" s="20" t="s">
        <v>187</v>
      </c>
      <c r="B92" s="281" t="s">
        <v>547</v>
      </c>
      <c r="C92" s="25" t="s">
        <v>9</v>
      </c>
      <c r="D92" s="20" t="s">
        <v>101</v>
      </c>
      <c r="E92" s="20" t="s">
        <v>103</v>
      </c>
      <c r="F92" s="20"/>
      <c r="G92" s="191">
        <f>G93</f>
        <v>5</v>
      </c>
      <c r="H92" s="191" t="str">
        <f t="shared" ref="H92:I92" si="32">H93</f>
        <v>5,2</v>
      </c>
      <c r="I92" s="191">
        <f t="shared" si="32"/>
        <v>5.5</v>
      </c>
    </row>
    <row r="93" spans="1:9" ht="58.5" customHeight="1" x14ac:dyDescent="0.3">
      <c r="A93" s="16" t="s">
        <v>261</v>
      </c>
      <c r="B93" s="228" t="s">
        <v>355</v>
      </c>
      <c r="C93" s="19" t="s">
        <v>9</v>
      </c>
      <c r="D93" s="19" t="s">
        <v>101</v>
      </c>
      <c r="E93" s="16" t="s">
        <v>103</v>
      </c>
      <c r="F93" s="16" t="s">
        <v>44</v>
      </c>
      <c r="G93" s="192">
        <v>5</v>
      </c>
      <c r="H93" s="146" t="s">
        <v>504</v>
      </c>
      <c r="I93" s="263">
        <v>5.5</v>
      </c>
    </row>
    <row r="94" spans="1:9" ht="84" customHeight="1" x14ac:dyDescent="0.3">
      <c r="A94" s="20" t="s">
        <v>188</v>
      </c>
      <c r="B94" s="244" t="s">
        <v>548</v>
      </c>
      <c r="C94" s="25" t="s">
        <v>9</v>
      </c>
      <c r="D94" s="25" t="s">
        <v>101</v>
      </c>
      <c r="E94" s="20" t="s">
        <v>104</v>
      </c>
      <c r="F94" s="20"/>
      <c r="G94" s="191">
        <f>G95</f>
        <v>5</v>
      </c>
      <c r="H94" s="191" t="str">
        <f t="shared" ref="H94:I96" si="33">H95</f>
        <v>5,2</v>
      </c>
      <c r="I94" s="191">
        <f t="shared" si="33"/>
        <v>5.5</v>
      </c>
    </row>
    <row r="95" spans="1:9" ht="61.5" customHeight="1" x14ac:dyDescent="0.3">
      <c r="A95" s="16" t="s">
        <v>315</v>
      </c>
      <c r="B95" s="228" t="s">
        <v>355</v>
      </c>
      <c r="C95" s="19" t="s">
        <v>9</v>
      </c>
      <c r="D95" s="19" t="s">
        <v>101</v>
      </c>
      <c r="E95" s="16" t="s">
        <v>104</v>
      </c>
      <c r="F95" s="16" t="s">
        <v>44</v>
      </c>
      <c r="G95" s="192">
        <v>5</v>
      </c>
      <c r="H95" s="146" t="s">
        <v>504</v>
      </c>
      <c r="I95" s="263">
        <v>5.5</v>
      </c>
    </row>
    <row r="96" spans="1:9" ht="211.5" customHeight="1" x14ac:dyDescent="0.3">
      <c r="A96" s="20" t="s">
        <v>317</v>
      </c>
      <c r="B96" s="282" t="s">
        <v>549</v>
      </c>
      <c r="C96" s="25" t="s">
        <v>9</v>
      </c>
      <c r="D96" s="25" t="s">
        <v>101</v>
      </c>
      <c r="E96" s="20" t="s">
        <v>320</v>
      </c>
      <c r="F96" s="20"/>
      <c r="G96" s="191">
        <f>G97</f>
        <v>3</v>
      </c>
      <c r="H96" s="191" t="str">
        <f t="shared" si="33"/>
        <v>3,2</v>
      </c>
      <c r="I96" s="191">
        <f t="shared" si="33"/>
        <v>3.3</v>
      </c>
    </row>
    <row r="97" spans="1:12" ht="52.5" customHeight="1" x14ac:dyDescent="0.3">
      <c r="A97" s="16" t="s">
        <v>318</v>
      </c>
      <c r="B97" s="228" t="s">
        <v>355</v>
      </c>
      <c r="C97" s="19" t="s">
        <v>9</v>
      </c>
      <c r="D97" s="19" t="s">
        <v>101</v>
      </c>
      <c r="E97" s="16" t="s">
        <v>320</v>
      </c>
      <c r="F97" s="16" t="s">
        <v>44</v>
      </c>
      <c r="G97" s="192">
        <v>3</v>
      </c>
      <c r="H97" s="146" t="s">
        <v>503</v>
      </c>
      <c r="I97" s="193">
        <v>3.3</v>
      </c>
    </row>
    <row r="98" spans="1:12" ht="20.25" x14ac:dyDescent="0.3">
      <c r="A98" s="14" t="s">
        <v>150</v>
      </c>
      <c r="B98" s="244" t="s">
        <v>105</v>
      </c>
      <c r="C98" s="23" t="s">
        <v>9</v>
      </c>
      <c r="D98" s="14" t="s">
        <v>106</v>
      </c>
      <c r="E98" s="14"/>
      <c r="F98" s="14"/>
      <c r="G98" s="197">
        <f>G99</f>
        <v>4662.0999999999995</v>
      </c>
      <c r="H98" s="197">
        <f t="shared" ref="H98:I98" si="34">H99</f>
        <v>2170.6999999999998</v>
      </c>
      <c r="I98" s="197">
        <f t="shared" si="34"/>
        <v>2257.5699999999997</v>
      </c>
    </row>
    <row r="99" spans="1:12" ht="18.75" x14ac:dyDescent="0.3">
      <c r="A99" s="20" t="s">
        <v>190</v>
      </c>
      <c r="B99" s="244" t="s">
        <v>107</v>
      </c>
      <c r="C99" s="25" t="s">
        <v>9</v>
      </c>
      <c r="D99" s="20" t="s">
        <v>108</v>
      </c>
      <c r="E99" s="20"/>
      <c r="F99" s="20"/>
      <c r="G99" s="191">
        <f>G100+G102+G104</f>
        <v>4662.0999999999995</v>
      </c>
      <c r="H99" s="191">
        <f t="shared" ref="H99" si="35">H100+H102+H104</f>
        <v>2170.6999999999998</v>
      </c>
      <c r="I99" s="191">
        <f>I100+I102+I104</f>
        <v>2257.5699999999997</v>
      </c>
    </row>
    <row r="100" spans="1:12" ht="69" customHeight="1" x14ac:dyDescent="0.3">
      <c r="A100" s="20" t="s">
        <v>191</v>
      </c>
      <c r="B100" s="239" t="s">
        <v>550</v>
      </c>
      <c r="C100" s="25" t="s">
        <v>9</v>
      </c>
      <c r="D100" s="20" t="s">
        <v>109</v>
      </c>
      <c r="E100" s="20" t="s">
        <v>110</v>
      </c>
      <c r="F100" s="20"/>
      <c r="G100" s="191">
        <f>G101</f>
        <v>2949.2</v>
      </c>
      <c r="H100" s="191">
        <f t="shared" ref="H100:I100" si="36">H101</f>
        <v>811.2</v>
      </c>
      <c r="I100" s="191">
        <f t="shared" si="36"/>
        <v>843.7</v>
      </c>
    </row>
    <row r="101" spans="1:12" ht="53.25" customHeight="1" x14ac:dyDescent="0.3">
      <c r="A101" s="16" t="s">
        <v>262</v>
      </c>
      <c r="B101" s="228" t="s">
        <v>355</v>
      </c>
      <c r="C101" s="19" t="s">
        <v>9</v>
      </c>
      <c r="D101" s="16" t="s">
        <v>108</v>
      </c>
      <c r="E101" s="16" t="s">
        <v>110</v>
      </c>
      <c r="F101" s="16" t="s">
        <v>44</v>
      </c>
      <c r="G101" s="272">
        <f>807+2000+220-77.8</f>
        <v>2949.2</v>
      </c>
      <c r="H101" s="193">
        <v>811.2</v>
      </c>
      <c r="I101" s="196">
        <v>843.7</v>
      </c>
      <c r="K101" t="s">
        <v>582</v>
      </c>
      <c r="L101">
        <v>77.8</v>
      </c>
    </row>
    <row r="102" spans="1:12" ht="108" customHeight="1" x14ac:dyDescent="0.3">
      <c r="A102" s="20" t="s">
        <v>207</v>
      </c>
      <c r="B102" s="283" t="s">
        <v>551</v>
      </c>
      <c r="C102" s="25" t="s">
        <v>9</v>
      </c>
      <c r="D102" s="20" t="s">
        <v>109</v>
      </c>
      <c r="E102" s="20" t="s">
        <v>215</v>
      </c>
      <c r="F102" s="20"/>
      <c r="G102" s="284">
        <f>G103</f>
        <v>1426.7</v>
      </c>
      <c r="H102" s="284">
        <f t="shared" ref="H102:I102" si="37">H103</f>
        <v>1359.5</v>
      </c>
      <c r="I102" s="284">
        <f t="shared" si="37"/>
        <v>1413.87</v>
      </c>
    </row>
    <row r="103" spans="1:12" ht="48" x14ac:dyDescent="0.3">
      <c r="A103" s="16" t="s">
        <v>263</v>
      </c>
      <c r="B103" s="237" t="s">
        <v>355</v>
      </c>
      <c r="C103" s="19" t="s">
        <v>9</v>
      </c>
      <c r="D103" s="16" t="s">
        <v>109</v>
      </c>
      <c r="E103" s="16" t="s">
        <v>215</v>
      </c>
      <c r="F103" s="16" t="s">
        <v>44</v>
      </c>
      <c r="G103" s="273">
        <f>1327.2+100-0.5</f>
        <v>1426.7</v>
      </c>
      <c r="H103" s="263">
        <v>1359.5</v>
      </c>
      <c r="I103" s="193">
        <v>1413.87</v>
      </c>
      <c r="K103" t="s">
        <v>580</v>
      </c>
      <c r="L103">
        <v>0.5</v>
      </c>
    </row>
    <row r="104" spans="1:12" ht="64.5" customHeight="1" x14ac:dyDescent="0.3">
      <c r="A104" s="20" t="s">
        <v>313</v>
      </c>
      <c r="B104" s="244" t="s">
        <v>552</v>
      </c>
      <c r="C104" s="25" t="s">
        <v>9</v>
      </c>
      <c r="D104" s="20" t="s">
        <v>108</v>
      </c>
      <c r="E104" s="20" t="s">
        <v>111</v>
      </c>
      <c r="F104" s="20"/>
      <c r="G104" s="191">
        <f>G105</f>
        <v>286.2</v>
      </c>
      <c r="H104" s="191" t="str">
        <f t="shared" ref="H104:I104" si="38">H105</f>
        <v>0</v>
      </c>
      <c r="I104" s="191" t="str">
        <f t="shared" si="38"/>
        <v>0</v>
      </c>
    </row>
    <row r="105" spans="1:12" ht="55.5" customHeight="1" x14ac:dyDescent="0.3">
      <c r="A105" s="16" t="s">
        <v>314</v>
      </c>
      <c r="B105" s="228" t="s">
        <v>355</v>
      </c>
      <c r="C105" s="19" t="s">
        <v>9</v>
      </c>
      <c r="D105" s="16" t="s">
        <v>108</v>
      </c>
      <c r="E105" s="16" t="s">
        <v>111</v>
      </c>
      <c r="F105" s="16" t="s">
        <v>44</v>
      </c>
      <c r="G105" s="272">
        <f>500-213.8</f>
        <v>286.2</v>
      </c>
      <c r="H105" s="146" t="s">
        <v>506</v>
      </c>
      <c r="I105" s="54" t="s">
        <v>506</v>
      </c>
    </row>
    <row r="106" spans="1:12" ht="20.25" x14ac:dyDescent="0.3">
      <c r="A106" s="14" t="s">
        <v>194</v>
      </c>
      <c r="B106" s="248" t="s">
        <v>112</v>
      </c>
      <c r="C106" s="23" t="s">
        <v>9</v>
      </c>
      <c r="D106" s="14" t="s">
        <v>113</v>
      </c>
      <c r="E106" s="14"/>
      <c r="F106" s="14"/>
      <c r="G106" s="197">
        <f>G107+G113+G110</f>
        <v>6940.9</v>
      </c>
      <c r="H106" s="197">
        <f>H107+H113+H110</f>
        <v>7182.6</v>
      </c>
      <c r="I106" s="197">
        <f t="shared" ref="I106" si="39">I107+I113+I110</f>
        <v>7434.1999999999989</v>
      </c>
    </row>
    <row r="107" spans="1:12" ht="40.5" customHeight="1" x14ac:dyDescent="0.3">
      <c r="A107" s="14" t="s">
        <v>196</v>
      </c>
      <c r="B107" s="244" t="s">
        <v>461</v>
      </c>
      <c r="C107" s="25" t="s">
        <v>9</v>
      </c>
      <c r="D107" s="20" t="s">
        <v>316</v>
      </c>
      <c r="E107" s="20"/>
      <c r="F107" s="20"/>
      <c r="G107" s="191">
        <f>G108</f>
        <v>1047.9000000000001</v>
      </c>
      <c r="H107" s="191">
        <f t="shared" ref="H107:I111" si="40">H108</f>
        <v>1047.9000000000001</v>
      </c>
      <c r="I107" s="191">
        <f t="shared" si="40"/>
        <v>1047.9000000000001</v>
      </c>
    </row>
    <row r="108" spans="1:12" ht="110.25" customHeight="1" x14ac:dyDescent="0.3">
      <c r="A108" s="153" t="s">
        <v>277</v>
      </c>
      <c r="B108" s="228" t="s">
        <v>402</v>
      </c>
      <c r="C108" s="19" t="s">
        <v>9</v>
      </c>
      <c r="D108" s="16" t="s">
        <v>316</v>
      </c>
      <c r="E108" s="16" t="s">
        <v>114</v>
      </c>
      <c r="F108" s="16"/>
      <c r="G108" s="192">
        <f>G109</f>
        <v>1047.9000000000001</v>
      </c>
      <c r="H108" s="192">
        <f t="shared" si="40"/>
        <v>1047.9000000000001</v>
      </c>
      <c r="I108" s="192">
        <f t="shared" si="40"/>
        <v>1047.9000000000001</v>
      </c>
    </row>
    <row r="109" spans="1:12" ht="41.25" customHeight="1" x14ac:dyDescent="0.3">
      <c r="A109" s="153" t="s">
        <v>264</v>
      </c>
      <c r="B109" s="228" t="s">
        <v>115</v>
      </c>
      <c r="C109" s="19" t="s">
        <v>9</v>
      </c>
      <c r="D109" s="16" t="s">
        <v>316</v>
      </c>
      <c r="E109" s="16" t="s">
        <v>114</v>
      </c>
      <c r="F109" s="16" t="s">
        <v>116</v>
      </c>
      <c r="G109" s="192">
        <v>1047.9000000000001</v>
      </c>
      <c r="H109" s="192">
        <v>1047.9000000000001</v>
      </c>
      <c r="I109" s="192">
        <v>1047.9000000000001</v>
      </c>
    </row>
    <row r="110" spans="1:12" ht="40.5" customHeight="1" x14ac:dyDescent="0.3">
      <c r="A110" s="14" t="s">
        <v>197</v>
      </c>
      <c r="B110" s="244" t="s">
        <v>554</v>
      </c>
      <c r="C110" s="25" t="s">
        <v>9</v>
      </c>
      <c r="D110" s="20" t="s">
        <v>553</v>
      </c>
      <c r="E110" s="20"/>
      <c r="F110" s="20"/>
      <c r="G110" s="191">
        <f>G111</f>
        <v>0</v>
      </c>
      <c r="H110" s="191">
        <f t="shared" si="40"/>
        <v>0</v>
      </c>
      <c r="I110" s="191">
        <f t="shared" si="40"/>
        <v>0</v>
      </c>
    </row>
    <row r="111" spans="1:12" ht="118.5" customHeight="1" x14ac:dyDescent="0.3">
      <c r="A111" s="153" t="s">
        <v>199</v>
      </c>
      <c r="B111" s="228" t="s">
        <v>555</v>
      </c>
      <c r="C111" s="19" t="s">
        <v>9</v>
      </c>
      <c r="D111" s="16" t="s">
        <v>553</v>
      </c>
      <c r="E111" s="16" t="s">
        <v>114</v>
      </c>
      <c r="F111" s="16"/>
      <c r="G111" s="192">
        <f>G112</f>
        <v>0</v>
      </c>
      <c r="H111" s="192">
        <f t="shared" si="40"/>
        <v>0</v>
      </c>
      <c r="I111" s="192">
        <f t="shared" si="40"/>
        <v>0</v>
      </c>
    </row>
    <row r="112" spans="1:12" ht="41.25" customHeight="1" x14ac:dyDescent="0.3">
      <c r="A112" s="153" t="s">
        <v>265</v>
      </c>
      <c r="B112" s="228" t="s">
        <v>115</v>
      </c>
      <c r="C112" s="19" t="s">
        <v>9</v>
      </c>
      <c r="D112" s="16" t="s">
        <v>553</v>
      </c>
      <c r="E112" s="16" t="s">
        <v>114</v>
      </c>
      <c r="F112" s="16" t="s">
        <v>116</v>
      </c>
      <c r="G112" s="192">
        <v>0</v>
      </c>
      <c r="H112" s="192">
        <v>0</v>
      </c>
      <c r="I112" s="192">
        <v>0</v>
      </c>
    </row>
    <row r="113" spans="1:9" s="28" customFormat="1" ht="20.25" x14ac:dyDescent="0.3">
      <c r="A113" s="14" t="s">
        <v>560</v>
      </c>
      <c r="B113" s="244" t="s">
        <v>562</v>
      </c>
      <c r="C113" s="25" t="s">
        <v>9</v>
      </c>
      <c r="D113" s="20" t="s">
        <v>117</v>
      </c>
      <c r="E113" s="20"/>
      <c r="F113" s="20"/>
      <c r="G113" s="191">
        <f>G114+G116</f>
        <v>5893</v>
      </c>
      <c r="H113" s="191">
        <f t="shared" ref="H113:I113" si="41">H114+H116</f>
        <v>6134.7000000000007</v>
      </c>
      <c r="I113" s="191">
        <f t="shared" si="41"/>
        <v>6386.2999999999993</v>
      </c>
    </row>
    <row r="114" spans="1:9" ht="88.5" customHeight="1" x14ac:dyDescent="0.3">
      <c r="A114" s="146" t="s">
        <v>556</v>
      </c>
      <c r="B114" s="249" t="s">
        <v>118</v>
      </c>
      <c r="C114" s="16" t="s">
        <v>9</v>
      </c>
      <c r="D114" s="16" t="s">
        <v>117</v>
      </c>
      <c r="E114" s="16" t="s">
        <v>119</v>
      </c>
      <c r="F114" s="146"/>
      <c r="G114" s="195">
        <f>G115</f>
        <v>4153.2</v>
      </c>
      <c r="H114" s="195">
        <f t="shared" ref="H114:I114" si="42">H115</f>
        <v>4323.6000000000004</v>
      </c>
      <c r="I114" s="195">
        <f t="shared" si="42"/>
        <v>4500.8999999999996</v>
      </c>
    </row>
    <row r="115" spans="1:9" ht="44.25" customHeight="1" x14ac:dyDescent="0.3">
      <c r="A115" s="146" t="s">
        <v>559</v>
      </c>
      <c r="B115" s="236" t="s">
        <v>115</v>
      </c>
      <c r="C115" s="19" t="s">
        <v>9</v>
      </c>
      <c r="D115" s="16" t="s">
        <v>117</v>
      </c>
      <c r="E115" s="16" t="s">
        <v>119</v>
      </c>
      <c r="F115" s="16" t="s">
        <v>116</v>
      </c>
      <c r="G115" s="192">
        <v>4153.2</v>
      </c>
      <c r="H115" s="193">
        <v>4323.6000000000004</v>
      </c>
      <c r="I115" s="263">
        <v>4500.8999999999996</v>
      </c>
    </row>
    <row r="116" spans="1:9" ht="71.25" customHeight="1" x14ac:dyDescent="0.3">
      <c r="A116" s="146" t="s">
        <v>558</v>
      </c>
      <c r="B116" s="228" t="s">
        <v>120</v>
      </c>
      <c r="C116" s="19" t="s">
        <v>9</v>
      </c>
      <c r="D116" s="16" t="s">
        <v>117</v>
      </c>
      <c r="E116" s="16" t="s">
        <v>121</v>
      </c>
      <c r="F116" s="16"/>
      <c r="G116" s="192">
        <f>G117</f>
        <v>1739.8</v>
      </c>
      <c r="H116" s="192">
        <f t="shared" ref="H116:I116" si="43">H117</f>
        <v>1811.1</v>
      </c>
      <c r="I116" s="192">
        <f t="shared" si="43"/>
        <v>1885.4</v>
      </c>
    </row>
    <row r="117" spans="1:9" ht="37.5" customHeight="1" x14ac:dyDescent="0.3">
      <c r="A117" s="146" t="s">
        <v>557</v>
      </c>
      <c r="B117" s="236" t="s">
        <v>115</v>
      </c>
      <c r="C117" s="19" t="s">
        <v>9</v>
      </c>
      <c r="D117" s="16" t="s">
        <v>117</v>
      </c>
      <c r="E117" s="16" t="s">
        <v>121</v>
      </c>
      <c r="F117" s="16" t="s">
        <v>116</v>
      </c>
      <c r="G117" s="192">
        <v>1739.8</v>
      </c>
      <c r="H117" s="263">
        <v>1811.1</v>
      </c>
      <c r="I117" s="263">
        <v>1885.4</v>
      </c>
    </row>
    <row r="118" spans="1:9" s="2" customFormat="1" ht="20.25" x14ac:dyDescent="0.3">
      <c r="A118" s="14" t="s">
        <v>202</v>
      </c>
      <c r="B118" s="250" t="s">
        <v>148</v>
      </c>
      <c r="C118" s="25" t="s">
        <v>9</v>
      </c>
      <c r="D118" s="20" t="s">
        <v>145</v>
      </c>
      <c r="E118" s="20"/>
      <c r="F118" s="20"/>
      <c r="G118" s="191">
        <f>G119</f>
        <v>5</v>
      </c>
      <c r="H118" s="191" t="str">
        <f t="shared" ref="H118:I119" si="44">H119</f>
        <v>5,2</v>
      </c>
      <c r="I118" s="191">
        <f t="shared" si="44"/>
        <v>5.5</v>
      </c>
    </row>
    <row r="119" spans="1:9" s="2" customFormat="1" ht="20.25" x14ac:dyDescent="0.3">
      <c r="A119" s="14" t="s">
        <v>203</v>
      </c>
      <c r="B119" s="250" t="s">
        <v>149</v>
      </c>
      <c r="C119" s="25" t="s">
        <v>9</v>
      </c>
      <c r="D119" s="20" t="s">
        <v>146</v>
      </c>
      <c r="E119" s="20"/>
      <c r="F119" s="20"/>
      <c r="G119" s="191">
        <f>G120</f>
        <v>5</v>
      </c>
      <c r="H119" s="191" t="str">
        <f t="shared" si="44"/>
        <v>5,2</v>
      </c>
      <c r="I119" s="191">
        <f t="shared" si="44"/>
        <v>5.5</v>
      </c>
    </row>
    <row r="120" spans="1:9" ht="133.5" customHeight="1" x14ac:dyDescent="0.3">
      <c r="A120" s="153" t="s">
        <v>204</v>
      </c>
      <c r="B120" s="251" t="s">
        <v>568</v>
      </c>
      <c r="C120" s="19" t="s">
        <v>9</v>
      </c>
      <c r="D120" s="16" t="s">
        <v>146</v>
      </c>
      <c r="E120" s="16" t="s">
        <v>147</v>
      </c>
      <c r="F120" s="16"/>
      <c r="G120" s="192">
        <f>G121</f>
        <v>5</v>
      </c>
      <c r="H120" s="192" t="str">
        <f>H121</f>
        <v>5,2</v>
      </c>
      <c r="I120" s="192">
        <f>I121</f>
        <v>5.5</v>
      </c>
    </row>
    <row r="121" spans="1:9" ht="53.25" customHeight="1" x14ac:dyDescent="0.3">
      <c r="A121" s="153" t="s">
        <v>267</v>
      </c>
      <c r="B121" s="228" t="s">
        <v>355</v>
      </c>
      <c r="C121" s="19" t="s">
        <v>9</v>
      </c>
      <c r="D121" s="16" t="s">
        <v>146</v>
      </c>
      <c r="E121" s="16" t="s">
        <v>147</v>
      </c>
      <c r="F121" s="16" t="s">
        <v>44</v>
      </c>
      <c r="G121" s="192">
        <v>5</v>
      </c>
      <c r="H121" s="146" t="s">
        <v>504</v>
      </c>
      <c r="I121" s="263">
        <v>5.5</v>
      </c>
    </row>
    <row r="122" spans="1:9" ht="31.5" x14ac:dyDescent="0.3">
      <c r="A122" s="14" t="s">
        <v>195</v>
      </c>
      <c r="B122" s="245" t="s">
        <v>528</v>
      </c>
      <c r="C122" s="25" t="s">
        <v>9</v>
      </c>
      <c r="D122" s="20" t="s">
        <v>432</v>
      </c>
      <c r="E122" s="20"/>
      <c r="F122" s="20"/>
      <c r="G122" s="191">
        <f>G123</f>
        <v>129.10000000000002</v>
      </c>
      <c r="H122" s="191" t="str">
        <f t="shared" ref="H122:I125" si="45">H123</f>
        <v>0</v>
      </c>
      <c r="I122" s="191">
        <f t="shared" si="45"/>
        <v>0</v>
      </c>
    </row>
    <row r="123" spans="1:9" ht="32.25" x14ac:dyDescent="0.3">
      <c r="A123" s="14" t="s">
        <v>209</v>
      </c>
      <c r="B123" s="244" t="s">
        <v>529</v>
      </c>
      <c r="C123" s="25" t="s">
        <v>9</v>
      </c>
      <c r="D123" s="20" t="s">
        <v>433</v>
      </c>
      <c r="E123" s="20"/>
      <c r="F123" s="20"/>
      <c r="G123" s="191">
        <f>G124</f>
        <v>129.10000000000002</v>
      </c>
      <c r="H123" s="191" t="str">
        <f t="shared" si="45"/>
        <v>0</v>
      </c>
      <c r="I123" s="191">
        <f t="shared" si="45"/>
        <v>0</v>
      </c>
    </row>
    <row r="124" spans="1:9" ht="32.25" x14ac:dyDescent="0.3">
      <c r="A124" s="153" t="s">
        <v>210</v>
      </c>
      <c r="B124" s="228" t="s">
        <v>530</v>
      </c>
      <c r="C124" s="19" t="s">
        <v>9</v>
      </c>
      <c r="D124" s="16" t="s">
        <v>433</v>
      </c>
      <c r="E124" s="16" t="s">
        <v>40</v>
      </c>
      <c r="F124" s="16"/>
      <c r="G124" s="192">
        <f>G125</f>
        <v>129.10000000000002</v>
      </c>
      <c r="H124" s="192" t="str">
        <f t="shared" si="45"/>
        <v>0</v>
      </c>
      <c r="I124" s="192">
        <f t="shared" si="45"/>
        <v>0</v>
      </c>
    </row>
    <row r="125" spans="1:9" ht="20.25" x14ac:dyDescent="0.3">
      <c r="A125" s="153" t="s">
        <v>389</v>
      </c>
      <c r="B125" s="228" t="s">
        <v>431</v>
      </c>
      <c r="C125" s="19" t="s">
        <v>9</v>
      </c>
      <c r="D125" s="16" t="s">
        <v>433</v>
      </c>
      <c r="E125" s="16" t="s">
        <v>40</v>
      </c>
      <c r="F125" s="16" t="s">
        <v>434</v>
      </c>
      <c r="G125" s="192">
        <f>G126</f>
        <v>129.10000000000002</v>
      </c>
      <c r="H125" s="192" t="str">
        <f t="shared" si="45"/>
        <v>0</v>
      </c>
      <c r="I125" s="192">
        <f t="shared" si="45"/>
        <v>0</v>
      </c>
    </row>
    <row r="126" spans="1:9" ht="20.25" x14ac:dyDescent="0.3">
      <c r="A126" s="153" t="s">
        <v>430</v>
      </c>
      <c r="B126" s="228" t="s">
        <v>431</v>
      </c>
      <c r="C126" s="19" t="s">
        <v>9</v>
      </c>
      <c r="D126" s="16" t="s">
        <v>433</v>
      </c>
      <c r="E126" s="16" t="s">
        <v>40</v>
      </c>
      <c r="F126" s="16" t="s">
        <v>435</v>
      </c>
      <c r="G126" s="192">
        <f>64.7+2.6+26.6+35.2</f>
        <v>129.10000000000002</v>
      </c>
      <c r="H126" s="16" t="s">
        <v>506</v>
      </c>
      <c r="I126" s="269">
        <v>0</v>
      </c>
    </row>
    <row r="127" spans="1:9" ht="73.5" customHeight="1" x14ac:dyDescent="0.3">
      <c r="A127" s="154" t="s">
        <v>122</v>
      </c>
      <c r="B127" s="252" t="s">
        <v>123</v>
      </c>
      <c r="C127" s="153" t="s">
        <v>124</v>
      </c>
      <c r="D127" s="153"/>
      <c r="E127" s="153"/>
      <c r="F127" s="153"/>
      <c r="G127" s="197">
        <f>G128+G146</f>
        <v>6305.7</v>
      </c>
      <c r="H127" s="197">
        <f>H128+H146</f>
        <v>5702.4000000000005</v>
      </c>
      <c r="I127" s="197">
        <f>I128+I146</f>
        <v>5923.8000000000011</v>
      </c>
    </row>
    <row r="128" spans="1:9" ht="20.25" x14ac:dyDescent="0.3">
      <c r="A128" s="14" t="s">
        <v>27</v>
      </c>
      <c r="B128" s="232" t="s">
        <v>28</v>
      </c>
      <c r="C128" s="14" t="s">
        <v>124</v>
      </c>
      <c r="D128" s="14" t="s">
        <v>29</v>
      </c>
      <c r="E128" s="14"/>
      <c r="F128" s="14"/>
      <c r="G128" s="197">
        <f>G129+G132+G141</f>
        <v>6185.7</v>
      </c>
      <c r="H128" s="197">
        <f t="shared" ref="H128:I128" si="46">H129+H132+H141</f>
        <v>5702.4000000000005</v>
      </c>
      <c r="I128" s="197">
        <f t="shared" si="46"/>
        <v>5923.8000000000011</v>
      </c>
    </row>
    <row r="129" spans="1:12" ht="51.75" customHeight="1" x14ac:dyDescent="0.3">
      <c r="A129" s="20" t="s">
        <v>30</v>
      </c>
      <c r="B129" s="254" t="s">
        <v>125</v>
      </c>
      <c r="C129" s="20" t="s">
        <v>124</v>
      </c>
      <c r="D129" s="20" t="s">
        <v>126</v>
      </c>
      <c r="E129" s="20"/>
      <c r="F129" s="20"/>
      <c r="G129" s="264">
        <f>G130</f>
        <v>1662.7</v>
      </c>
      <c r="H129" s="264">
        <f t="shared" ref="H129:I130" si="47">H130</f>
        <v>1215.8</v>
      </c>
      <c r="I129" s="264">
        <f t="shared" si="47"/>
        <v>1265.5999999999999</v>
      </c>
    </row>
    <row r="130" spans="1:12" ht="35.25" customHeight="1" x14ac:dyDescent="0.3">
      <c r="A130" s="20" t="s">
        <v>1</v>
      </c>
      <c r="B130" s="232" t="s">
        <v>127</v>
      </c>
      <c r="C130" s="20" t="s">
        <v>124</v>
      </c>
      <c r="D130" s="20" t="s">
        <v>126</v>
      </c>
      <c r="E130" s="20" t="s">
        <v>128</v>
      </c>
      <c r="F130" s="20"/>
      <c r="G130" s="191">
        <f>G131</f>
        <v>1662.7</v>
      </c>
      <c r="H130" s="191">
        <f t="shared" si="47"/>
        <v>1215.8</v>
      </c>
      <c r="I130" s="191">
        <f t="shared" si="47"/>
        <v>1265.5999999999999</v>
      </c>
    </row>
    <row r="131" spans="1:12" ht="95.25" x14ac:dyDescent="0.3">
      <c r="A131" s="16" t="s">
        <v>2</v>
      </c>
      <c r="B131" s="238" t="s">
        <v>36</v>
      </c>
      <c r="C131" s="16" t="s">
        <v>124</v>
      </c>
      <c r="D131" s="16" t="s">
        <v>126</v>
      </c>
      <c r="E131" s="16" t="s">
        <v>128</v>
      </c>
      <c r="F131" s="16" t="s">
        <v>37</v>
      </c>
      <c r="G131" s="192">
        <f>105.7+31.9+896.7+270.8-137.6+119.2+376</f>
        <v>1662.7</v>
      </c>
      <c r="H131" s="263">
        <f>933.8+282</f>
        <v>1215.8</v>
      </c>
      <c r="I131" s="263">
        <f>972+293.6</f>
        <v>1265.5999999999999</v>
      </c>
      <c r="K131" t="s">
        <v>581</v>
      </c>
      <c r="L131">
        <v>376</v>
      </c>
    </row>
    <row r="132" spans="1:12" ht="87.75" customHeight="1" x14ac:dyDescent="0.3">
      <c r="A132" s="150" t="s">
        <v>38</v>
      </c>
      <c r="B132" s="248" t="s">
        <v>129</v>
      </c>
      <c r="C132" s="20" t="s">
        <v>124</v>
      </c>
      <c r="D132" s="150" t="s">
        <v>130</v>
      </c>
      <c r="E132" s="150"/>
      <c r="F132" s="150"/>
      <c r="G132" s="264">
        <f>G137+G135+G133</f>
        <v>4427</v>
      </c>
      <c r="H132" s="264">
        <f t="shared" ref="H132:I132" si="48">H137+H135+H133</f>
        <v>4486.6000000000004</v>
      </c>
      <c r="I132" s="264">
        <f t="shared" si="48"/>
        <v>4658.2000000000007</v>
      </c>
    </row>
    <row r="133" spans="1:12" ht="61.5" customHeight="1" x14ac:dyDescent="0.3">
      <c r="A133" s="150" t="s">
        <v>41</v>
      </c>
      <c r="B133" s="248" t="s">
        <v>131</v>
      </c>
      <c r="C133" s="20" t="s">
        <v>124</v>
      </c>
      <c r="D133" s="150" t="s">
        <v>130</v>
      </c>
      <c r="E133" s="150" t="s">
        <v>132</v>
      </c>
      <c r="F133" s="150"/>
      <c r="G133" s="264">
        <f>G134</f>
        <v>0</v>
      </c>
      <c r="H133" s="264">
        <f t="shared" ref="H133:I133" si="49">H134</f>
        <v>0</v>
      </c>
      <c r="I133" s="264">
        <f t="shared" si="49"/>
        <v>0</v>
      </c>
    </row>
    <row r="134" spans="1:12" ht="101.25" customHeight="1" x14ac:dyDescent="0.3">
      <c r="A134" s="146" t="s">
        <v>55</v>
      </c>
      <c r="B134" s="237" t="s">
        <v>133</v>
      </c>
      <c r="C134" s="16" t="s">
        <v>124</v>
      </c>
      <c r="D134" s="146" t="s">
        <v>130</v>
      </c>
      <c r="E134" s="146" t="s">
        <v>132</v>
      </c>
      <c r="F134" s="146" t="s">
        <v>37</v>
      </c>
      <c r="G134" s="196">
        <v>0</v>
      </c>
      <c r="H134" s="193">
        <v>0</v>
      </c>
      <c r="I134" s="193">
        <v>0</v>
      </c>
    </row>
    <row r="135" spans="1:12" ht="37.5" customHeight="1" x14ac:dyDescent="0.3">
      <c r="A135" s="150" t="s">
        <v>42</v>
      </c>
      <c r="B135" s="248" t="s">
        <v>134</v>
      </c>
      <c r="C135" s="20" t="s">
        <v>124</v>
      </c>
      <c r="D135" s="150" t="s">
        <v>130</v>
      </c>
      <c r="E135" s="150" t="s">
        <v>135</v>
      </c>
      <c r="F135" s="150"/>
      <c r="G135" s="264">
        <f>G136</f>
        <v>164.7</v>
      </c>
      <c r="H135" s="264">
        <f t="shared" ref="H135:I135" si="50">H136</f>
        <v>171.6</v>
      </c>
      <c r="I135" s="264">
        <f t="shared" si="50"/>
        <v>178.6</v>
      </c>
    </row>
    <row r="136" spans="1:12" ht="95.25" x14ac:dyDescent="0.3">
      <c r="A136" s="146" t="s">
        <v>247</v>
      </c>
      <c r="B136" s="238" t="s">
        <v>36</v>
      </c>
      <c r="C136" s="16" t="s">
        <v>124</v>
      </c>
      <c r="D136" s="146" t="s">
        <v>130</v>
      </c>
      <c r="E136" s="146" t="s">
        <v>135</v>
      </c>
      <c r="F136" s="146" t="s">
        <v>37</v>
      </c>
      <c r="G136" s="196">
        <v>164.7</v>
      </c>
      <c r="H136" s="193">
        <v>171.6</v>
      </c>
      <c r="I136" s="193">
        <v>178.6</v>
      </c>
    </row>
    <row r="137" spans="1:12" ht="51.75" customHeight="1" x14ac:dyDescent="0.3">
      <c r="A137" s="150" t="s">
        <v>45</v>
      </c>
      <c r="B137" s="248" t="s">
        <v>527</v>
      </c>
      <c r="C137" s="20" t="s">
        <v>124</v>
      </c>
      <c r="D137" s="150" t="s">
        <v>130</v>
      </c>
      <c r="E137" s="150" t="s">
        <v>136</v>
      </c>
      <c r="F137" s="150"/>
      <c r="G137" s="264">
        <f>G138+G139+G140</f>
        <v>4262.3</v>
      </c>
      <c r="H137" s="264">
        <f>H138+H139+H140</f>
        <v>4315</v>
      </c>
      <c r="I137" s="264">
        <f t="shared" ref="I137" si="51">I138+I139+I140</f>
        <v>4479.6000000000004</v>
      </c>
    </row>
    <row r="138" spans="1:12" ht="99.75" customHeight="1" x14ac:dyDescent="0.3">
      <c r="A138" s="146" t="s">
        <v>268</v>
      </c>
      <c r="B138" s="238" t="s">
        <v>36</v>
      </c>
      <c r="C138" s="16" t="s">
        <v>124</v>
      </c>
      <c r="D138" s="146" t="s">
        <v>130</v>
      </c>
      <c r="E138" s="146" t="s">
        <v>136</v>
      </c>
      <c r="F138" s="146" t="s">
        <v>37</v>
      </c>
      <c r="G138" s="196">
        <f>37.4+11.3+1695.5+512.1</f>
        <v>2256.3000000000002</v>
      </c>
      <c r="H138" s="196">
        <f>1765.6+533.2</f>
        <v>2298.8000000000002</v>
      </c>
      <c r="I138" s="196">
        <f>1765.6+533.2</f>
        <v>2298.8000000000002</v>
      </c>
    </row>
    <row r="139" spans="1:12" ht="55.5" customHeight="1" x14ac:dyDescent="0.3">
      <c r="A139" s="146" t="s">
        <v>269</v>
      </c>
      <c r="B139" s="228" t="s">
        <v>355</v>
      </c>
      <c r="C139" s="16" t="s">
        <v>124</v>
      </c>
      <c r="D139" s="146" t="s">
        <v>130</v>
      </c>
      <c r="E139" s="146" t="s">
        <v>136</v>
      </c>
      <c r="F139" s="146" t="s">
        <v>44</v>
      </c>
      <c r="G139" s="195">
        <f>2052.3-51.9+0.6</f>
        <v>2001</v>
      </c>
      <c r="H139" s="274">
        <v>2014.1</v>
      </c>
      <c r="I139" s="275">
        <v>2179.5</v>
      </c>
    </row>
    <row r="140" spans="1:12" ht="18.75" x14ac:dyDescent="0.3">
      <c r="A140" s="146" t="s">
        <v>270</v>
      </c>
      <c r="B140" s="236" t="s">
        <v>46</v>
      </c>
      <c r="C140" s="16" t="s">
        <v>124</v>
      </c>
      <c r="D140" s="146" t="s">
        <v>130</v>
      </c>
      <c r="E140" s="146" t="s">
        <v>136</v>
      </c>
      <c r="F140" s="146" t="s">
        <v>47</v>
      </c>
      <c r="G140" s="195">
        <v>5</v>
      </c>
      <c r="H140" s="193">
        <v>2.1</v>
      </c>
      <c r="I140" s="193">
        <v>1.3</v>
      </c>
    </row>
    <row r="141" spans="1:12" ht="32.25" x14ac:dyDescent="0.3">
      <c r="A141" s="20" t="s">
        <v>8</v>
      </c>
      <c r="B141" s="240" t="s">
        <v>56</v>
      </c>
      <c r="C141" s="186" t="s">
        <v>124</v>
      </c>
      <c r="D141" s="150" t="s">
        <v>57</v>
      </c>
      <c r="E141" s="150"/>
      <c r="F141" s="150"/>
      <c r="G141" s="264">
        <f>G144+G142+G42</f>
        <v>96</v>
      </c>
      <c r="H141" s="264">
        <f>H144+H142</f>
        <v>0</v>
      </c>
      <c r="I141" s="264">
        <f>I144+I142</f>
        <v>0</v>
      </c>
      <c r="J141" s="10"/>
    </row>
    <row r="142" spans="1:12" s="10" customFormat="1" ht="32.25" x14ac:dyDescent="0.3">
      <c r="A142" s="20" t="s">
        <v>58</v>
      </c>
      <c r="B142" s="240" t="s">
        <v>238</v>
      </c>
      <c r="C142" s="25" t="s">
        <v>124</v>
      </c>
      <c r="D142" s="150" t="s">
        <v>57</v>
      </c>
      <c r="E142" s="150" t="s">
        <v>239</v>
      </c>
      <c r="F142" s="150"/>
      <c r="G142" s="264">
        <f>G143</f>
        <v>0</v>
      </c>
      <c r="H142" s="264">
        <f t="shared" ref="H142:I142" si="52">H143</f>
        <v>0</v>
      </c>
      <c r="I142" s="264">
        <f t="shared" si="52"/>
        <v>0</v>
      </c>
    </row>
    <row r="143" spans="1:12" s="10" customFormat="1" ht="48" x14ac:dyDescent="0.3">
      <c r="A143" s="16" t="s">
        <v>61</v>
      </c>
      <c r="B143" s="228" t="s">
        <v>355</v>
      </c>
      <c r="C143" s="19" t="s">
        <v>124</v>
      </c>
      <c r="D143" s="146" t="s">
        <v>57</v>
      </c>
      <c r="E143" s="146" t="s">
        <v>239</v>
      </c>
      <c r="F143" s="146" t="s">
        <v>44</v>
      </c>
      <c r="G143" s="195">
        <v>0</v>
      </c>
      <c r="H143" s="263">
        <v>0</v>
      </c>
      <c r="I143" s="263">
        <v>0</v>
      </c>
    </row>
    <row r="144" spans="1:12" ht="63.75" x14ac:dyDescent="0.3">
      <c r="A144" s="20" t="s">
        <v>62</v>
      </c>
      <c r="B144" s="253" t="s">
        <v>216</v>
      </c>
      <c r="C144" s="25" t="s">
        <v>124</v>
      </c>
      <c r="D144" s="150" t="s">
        <v>57</v>
      </c>
      <c r="E144" s="150" t="s">
        <v>137</v>
      </c>
      <c r="F144" s="150"/>
      <c r="G144" s="264">
        <f>G145</f>
        <v>96</v>
      </c>
      <c r="H144" s="264">
        <f t="shared" ref="H144:I144" si="53">H145</f>
        <v>0</v>
      </c>
      <c r="I144" s="264">
        <f t="shared" si="53"/>
        <v>0</v>
      </c>
      <c r="J144" s="10"/>
    </row>
    <row r="145" spans="1:12" ht="18.75" x14ac:dyDescent="0.3">
      <c r="A145" s="16" t="s">
        <v>65</v>
      </c>
      <c r="B145" s="236" t="s">
        <v>46</v>
      </c>
      <c r="C145" s="19" t="s">
        <v>124</v>
      </c>
      <c r="D145" s="146" t="s">
        <v>57</v>
      </c>
      <c r="E145" s="146" t="s">
        <v>137</v>
      </c>
      <c r="F145" s="146" t="s">
        <v>47</v>
      </c>
      <c r="G145" s="192">
        <v>96</v>
      </c>
      <c r="H145" s="193">
        <v>0</v>
      </c>
      <c r="I145" s="193">
        <v>0</v>
      </c>
      <c r="J145" s="10"/>
    </row>
    <row r="146" spans="1:12" ht="20.25" x14ac:dyDescent="0.3">
      <c r="A146" s="14" t="s">
        <v>13</v>
      </c>
      <c r="B146" s="244" t="s">
        <v>138</v>
      </c>
      <c r="C146" s="23" t="s">
        <v>124</v>
      </c>
      <c r="D146" s="14" t="s">
        <v>139</v>
      </c>
      <c r="E146" s="24"/>
      <c r="F146" s="14"/>
      <c r="G146" s="191">
        <f>G147</f>
        <v>120</v>
      </c>
      <c r="H146" s="191">
        <f t="shared" ref="H146:I148" si="54">H147</f>
        <v>0</v>
      </c>
      <c r="I146" s="191">
        <f t="shared" si="54"/>
        <v>0</v>
      </c>
      <c r="J146" s="10"/>
    </row>
    <row r="147" spans="1:12" ht="44.25" customHeight="1" x14ac:dyDescent="0.3">
      <c r="A147" s="16" t="s">
        <v>11</v>
      </c>
      <c r="B147" s="248" t="s">
        <v>140</v>
      </c>
      <c r="C147" s="25" t="s">
        <v>124</v>
      </c>
      <c r="D147" s="20" t="s">
        <v>141</v>
      </c>
      <c r="E147" s="20"/>
      <c r="F147" s="20"/>
      <c r="G147" s="191">
        <f>G148</f>
        <v>120</v>
      </c>
      <c r="H147" s="191">
        <f t="shared" si="54"/>
        <v>0</v>
      </c>
      <c r="I147" s="191">
        <f t="shared" si="54"/>
        <v>0</v>
      </c>
      <c r="J147" s="10"/>
    </row>
    <row r="148" spans="1:12" ht="228.75" customHeight="1" x14ac:dyDescent="0.3">
      <c r="A148" s="16" t="s">
        <v>14</v>
      </c>
      <c r="B148" s="227" t="s">
        <v>142</v>
      </c>
      <c r="C148" s="19" t="s">
        <v>124</v>
      </c>
      <c r="D148" s="16" t="s">
        <v>141</v>
      </c>
      <c r="E148" s="16" t="s">
        <v>143</v>
      </c>
      <c r="F148" s="16"/>
      <c r="G148" s="192">
        <f>G149</f>
        <v>120</v>
      </c>
      <c r="H148" s="192">
        <f t="shared" si="54"/>
        <v>0</v>
      </c>
      <c r="I148" s="192">
        <f t="shared" si="54"/>
        <v>0</v>
      </c>
      <c r="J148" s="10"/>
    </row>
    <row r="149" spans="1:12" ht="54.75" customHeight="1" x14ac:dyDescent="0.3">
      <c r="A149" s="16" t="s">
        <v>12</v>
      </c>
      <c r="B149" s="228" t="s">
        <v>355</v>
      </c>
      <c r="C149" s="19" t="s">
        <v>124</v>
      </c>
      <c r="D149" s="16" t="s">
        <v>141</v>
      </c>
      <c r="E149" s="16" t="s">
        <v>143</v>
      </c>
      <c r="F149" s="16" t="s">
        <v>44</v>
      </c>
      <c r="G149" s="192">
        <v>120</v>
      </c>
      <c r="H149" s="195">
        <v>0</v>
      </c>
      <c r="I149" s="193">
        <v>0</v>
      </c>
      <c r="J149" s="10"/>
    </row>
    <row r="150" spans="1:12" s="29" customFormat="1" ht="18.75" x14ac:dyDescent="0.3">
      <c r="A150" s="115"/>
      <c r="B150" s="255" t="s">
        <v>144</v>
      </c>
      <c r="C150" s="116"/>
      <c r="D150" s="117"/>
      <c r="E150" s="117"/>
      <c r="F150" s="117"/>
      <c r="G150" s="122">
        <f>G11+G127</f>
        <v>45600.299999999988</v>
      </c>
      <c r="H150" s="122">
        <f t="shared" ref="H150:I150" si="55">H11+H127</f>
        <v>43398.9</v>
      </c>
      <c r="I150" s="122">
        <f t="shared" si="55"/>
        <v>41310.07</v>
      </c>
      <c r="J150" s="87"/>
      <c r="L150" s="87"/>
    </row>
    <row r="153" spans="1:12" x14ac:dyDescent="0.25">
      <c r="G153" s="119"/>
      <c r="H153" s="189">
        <f>H150-H113-H20</f>
        <v>34150.399999999994</v>
      </c>
      <c r="I153" s="189">
        <f>I150-I113-I20</f>
        <v>31682.670000000006</v>
      </c>
    </row>
    <row r="154" spans="1:12" x14ac:dyDescent="0.25">
      <c r="G154" s="119"/>
      <c r="H154" s="119"/>
      <c r="I154" s="119"/>
    </row>
    <row r="155" spans="1:12" x14ac:dyDescent="0.25">
      <c r="H155" s="118">
        <f>H153/97.5*2.5</f>
        <v>875.6512820512819</v>
      </c>
      <c r="I155" s="118">
        <f>I153/95*5</f>
        <v>1667.5089473684213</v>
      </c>
    </row>
    <row r="156" spans="1:12" x14ac:dyDescent="0.25">
      <c r="G156" s="119"/>
      <c r="H156" s="119"/>
      <c r="I156" s="119"/>
    </row>
    <row r="157" spans="1:12" x14ac:dyDescent="0.25">
      <c r="G157" s="119"/>
      <c r="H157" s="119">
        <f>874.5/H153*100</f>
        <v>2.5607313530734634</v>
      </c>
      <c r="I157" s="119">
        <f>1663.1/I153*100</f>
        <v>5.2492419357333189</v>
      </c>
    </row>
  </sheetData>
  <autoFilter ref="A8:G150"/>
  <mergeCells count="10">
    <mergeCell ref="G5:I5"/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portrait" r:id="rId1"/>
  <rowBreaks count="5" manualBreakCount="5">
    <brk id="34" max="8" man="1"/>
    <brk id="62" max="8" man="1"/>
    <brk id="87" max="8" man="1"/>
    <brk id="105" max="8" man="1"/>
    <brk id="12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5"/>
  <sheetViews>
    <sheetView view="pageBreakPreview" zoomScale="80" zoomScaleNormal="70" zoomScaleSheetLayoutView="80" workbookViewId="0">
      <selection activeCell="A5" sqref="A5:H5"/>
    </sheetView>
  </sheetViews>
  <sheetFormatPr defaultColWidth="9.140625" defaultRowHeight="12.75" x14ac:dyDescent="0.2"/>
  <cols>
    <col min="1" max="1" width="13" style="126" customWidth="1"/>
    <col min="2" max="2" width="59.5703125" style="110" customWidth="1"/>
    <col min="3" max="3" width="15" style="109" customWidth="1"/>
    <col min="4" max="4" width="17.85546875" style="125" customWidth="1"/>
    <col min="5" max="5" width="15.140625" style="109" customWidth="1"/>
    <col min="6" max="6" width="18.42578125" style="111" customWidth="1"/>
    <col min="7" max="7" width="13.42578125" style="111" customWidth="1"/>
    <col min="8" max="8" width="12.42578125" style="111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40"/>
      <c r="B1" s="156"/>
      <c r="C1" s="9"/>
      <c r="D1" s="157"/>
      <c r="E1" s="123"/>
      <c r="F1" s="123"/>
      <c r="G1" s="123"/>
      <c r="H1" s="6" t="s">
        <v>359</v>
      </c>
    </row>
    <row r="2" spans="1:8" ht="20.100000000000001" customHeight="1" x14ac:dyDescent="0.3">
      <c r="A2" s="138"/>
      <c r="B2" s="156"/>
      <c r="C2" s="9"/>
      <c r="D2" s="157"/>
      <c r="E2" s="123"/>
      <c r="F2" s="123"/>
      <c r="G2" s="123"/>
      <c r="H2" s="6" t="s">
        <v>16</v>
      </c>
    </row>
    <row r="3" spans="1:8" ht="20.100000000000001" customHeight="1" x14ac:dyDescent="0.3">
      <c r="A3" s="138"/>
      <c r="B3" s="123"/>
      <c r="C3" s="158"/>
      <c r="D3" s="159"/>
      <c r="E3" s="5"/>
      <c r="F3" s="123"/>
      <c r="G3" s="123"/>
      <c r="H3" s="6" t="s">
        <v>15</v>
      </c>
    </row>
    <row r="4" spans="1:8" ht="20.100000000000001" customHeight="1" x14ac:dyDescent="0.3">
      <c r="A4" s="138"/>
      <c r="B4" s="160"/>
      <c r="C4" s="161"/>
      <c r="D4" s="157"/>
      <c r="E4" s="123"/>
      <c r="F4" s="310" t="str">
        <f>ВСР!I4</f>
        <v>от 17 октября 2022 года № 19</v>
      </c>
      <c r="G4" s="311"/>
      <c r="H4" s="311"/>
    </row>
    <row r="5" spans="1:8" ht="45.6" customHeight="1" x14ac:dyDescent="0.2">
      <c r="A5" s="304" t="s">
        <v>517</v>
      </c>
      <c r="B5" s="305"/>
      <c r="C5" s="305"/>
      <c r="D5" s="305"/>
      <c r="E5" s="305"/>
      <c r="F5" s="305"/>
      <c r="G5" s="305"/>
      <c r="H5" s="305"/>
    </row>
    <row r="6" spans="1:8" ht="18.75" customHeight="1" x14ac:dyDescent="0.3">
      <c r="A6" s="162"/>
      <c r="B6" s="162"/>
      <c r="C6" s="162"/>
      <c r="D6" s="162"/>
      <c r="E6" s="162"/>
      <c r="F6" s="162"/>
      <c r="G6" s="123"/>
      <c r="H6" s="89" t="s">
        <v>308</v>
      </c>
    </row>
    <row r="7" spans="1:8" ht="29.25" customHeight="1" x14ac:dyDescent="0.2">
      <c r="A7" s="306" t="s">
        <v>17</v>
      </c>
      <c r="B7" s="306" t="s">
        <v>18</v>
      </c>
      <c r="C7" s="306" t="s">
        <v>309</v>
      </c>
      <c r="D7" s="313" t="s">
        <v>20</v>
      </c>
      <c r="E7" s="306" t="s">
        <v>21</v>
      </c>
      <c r="F7" s="315" t="s">
        <v>412</v>
      </c>
      <c r="G7" s="312" t="s">
        <v>307</v>
      </c>
      <c r="H7" s="312"/>
    </row>
    <row r="8" spans="1:8" ht="24" customHeight="1" x14ac:dyDescent="0.25">
      <c r="A8" s="307"/>
      <c r="B8" s="307"/>
      <c r="C8" s="307"/>
      <c r="D8" s="314"/>
      <c r="E8" s="307"/>
      <c r="F8" s="316"/>
      <c r="G8" s="163" t="s">
        <v>512</v>
      </c>
      <c r="H8" s="163" t="s">
        <v>513</v>
      </c>
    </row>
    <row r="9" spans="1:8" ht="15.75" x14ac:dyDescent="0.25">
      <c r="A9" s="164">
        <v>1</v>
      </c>
      <c r="B9" s="164">
        <v>2</v>
      </c>
      <c r="C9" s="164" t="s">
        <v>22</v>
      </c>
      <c r="D9" s="165">
        <v>4</v>
      </c>
      <c r="E9" s="164" t="s">
        <v>24</v>
      </c>
      <c r="F9" s="166">
        <v>6</v>
      </c>
      <c r="G9" s="167">
        <v>7</v>
      </c>
      <c r="H9" s="167">
        <v>8</v>
      </c>
    </row>
    <row r="10" spans="1:8" s="32" customFormat="1" ht="20.100000000000001" customHeight="1" x14ac:dyDescent="0.3">
      <c r="A10" s="202" t="s">
        <v>27</v>
      </c>
      <c r="B10" s="214" t="s">
        <v>28</v>
      </c>
      <c r="C10" s="202" t="s">
        <v>151</v>
      </c>
      <c r="D10" s="210"/>
      <c r="E10" s="202"/>
      <c r="F10" s="208">
        <f>F11+F14+F23+F33+F36</f>
        <v>27898.400000000001</v>
      </c>
      <c r="G10" s="208">
        <f>G11+G14+G23+G33+G36</f>
        <v>26206.6</v>
      </c>
      <c r="H10" s="208">
        <f>H11+H14+H23+H33+H36</f>
        <v>29696.5</v>
      </c>
    </row>
    <row r="11" spans="1:8" s="32" customFormat="1" ht="64.5" customHeight="1" x14ac:dyDescent="0.3">
      <c r="A11" s="16" t="s">
        <v>0</v>
      </c>
      <c r="B11" s="148" t="s">
        <v>125</v>
      </c>
      <c r="C11" s="16" t="s">
        <v>152</v>
      </c>
      <c r="D11" s="38"/>
      <c r="E11" s="16"/>
      <c r="F11" s="129">
        <f>F12</f>
        <v>1662.7</v>
      </c>
      <c r="G11" s="129">
        <f t="shared" ref="G11:H12" si="0">G12</f>
        <v>1215.8</v>
      </c>
      <c r="H11" s="129">
        <f t="shared" si="0"/>
        <v>1265.5999999999999</v>
      </c>
    </row>
    <row r="12" spans="1:8" s="32" customFormat="1" ht="18.95" customHeight="1" x14ac:dyDescent="0.3">
      <c r="A12" s="16" t="s">
        <v>1</v>
      </c>
      <c r="B12" s="168" t="s">
        <v>127</v>
      </c>
      <c r="C12" s="16" t="s">
        <v>153</v>
      </c>
      <c r="D12" s="38" t="str">
        <f>[2]ВСР!E115</f>
        <v>00201 00010</v>
      </c>
      <c r="E12" s="16"/>
      <c r="F12" s="130">
        <f>F13</f>
        <v>1662.7</v>
      </c>
      <c r="G12" s="130">
        <f t="shared" si="0"/>
        <v>1215.8</v>
      </c>
      <c r="H12" s="130">
        <f t="shared" si="0"/>
        <v>1265.5999999999999</v>
      </c>
    </row>
    <row r="13" spans="1:8" s="32" customFormat="1" ht="96.75" customHeight="1" x14ac:dyDescent="0.3">
      <c r="A13" s="16" t="s">
        <v>2</v>
      </c>
      <c r="B13" s="15" t="s">
        <v>36</v>
      </c>
      <c r="C13" s="16" t="s">
        <v>153</v>
      </c>
      <c r="D13" s="38" t="str">
        <f>[2]ВСР!E116</f>
        <v>00201 00010</v>
      </c>
      <c r="E13" s="16" t="s">
        <v>37</v>
      </c>
      <c r="F13" s="130">
        <f>ВСР!G131</f>
        <v>1662.7</v>
      </c>
      <c r="G13" s="130">
        <f>ВСР!H131</f>
        <v>1215.8</v>
      </c>
      <c r="H13" s="130">
        <f>ВСР!I131</f>
        <v>1265.5999999999999</v>
      </c>
    </row>
    <row r="14" spans="1:8" s="32" customFormat="1" ht="82.5" customHeight="1" x14ac:dyDescent="0.3">
      <c r="A14" s="146" t="s">
        <v>38</v>
      </c>
      <c r="B14" s="149" t="s">
        <v>129</v>
      </c>
      <c r="C14" s="146" t="s">
        <v>154</v>
      </c>
      <c r="D14" s="169"/>
      <c r="E14" s="146"/>
      <c r="F14" s="129">
        <f>F17+F19+F15</f>
        <v>4427</v>
      </c>
      <c r="G14" s="129">
        <f t="shared" ref="G14:H14" si="1">G17+G19+G15</f>
        <v>4486.6000000000004</v>
      </c>
      <c r="H14" s="129">
        <f t="shared" si="1"/>
        <v>4658.2000000000007</v>
      </c>
    </row>
    <row r="15" spans="1:8" s="32" customFormat="1" ht="46.5" customHeight="1" x14ac:dyDescent="0.3">
      <c r="A15" s="146" t="s">
        <v>41</v>
      </c>
      <c r="B15" s="237" t="s">
        <v>131</v>
      </c>
      <c r="C15" s="146" t="s">
        <v>155</v>
      </c>
      <c r="D15" s="146" t="str">
        <f>[2]ВСР!E118</f>
        <v>00203 00021</v>
      </c>
      <c r="E15" s="146"/>
      <c r="F15" s="129">
        <f>F16</f>
        <v>0</v>
      </c>
      <c r="G15" s="129">
        <f t="shared" ref="G15:H15" si="2">G16</f>
        <v>0</v>
      </c>
      <c r="H15" s="129">
        <f t="shared" si="2"/>
        <v>0</v>
      </c>
    </row>
    <row r="16" spans="1:8" s="32" customFormat="1" ht="117.75" customHeight="1" x14ac:dyDescent="0.3">
      <c r="A16" s="146" t="s">
        <v>55</v>
      </c>
      <c r="B16" s="149" t="s">
        <v>133</v>
      </c>
      <c r="C16" s="146" t="s">
        <v>155</v>
      </c>
      <c r="D16" s="169" t="s">
        <v>132</v>
      </c>
      <c r="E16" s="146" t="s">
        <v>37</v>
      </c>
      <c r="F16" s="129">
        <f>ВСР!G134</f>
        <v>0</v>
      </c>
      <c r="G16" s="276">
        <v>0</v>
      </c>
      <c r="H16" s="276">
        <v>0</v>
      </c>
    </row>
    <row r="17" spans="1:15" s="32" customFormat="1" ht="43.5" customHeight="1" x14ac:dyDescent="0.3">
      <c r="A17" s="146" t="s">
        <v>42</v>
      </c>
      <c r="B17" s="149" t="s">
        <v>134</v>
      </c>
      <c r="C17" s="146" t="s">
        <v>155</v>
      </c>
      <c r="D17" s="146" t="str">
        <f>[2]ВСР!E120</f>
        <v>00203 00022</v>
      </c>
      <c r="E17" s="146"/>
      <c r="F17" s="129">
        <f>F18</f>
        <v>164.7</v>
      </c>
      <c r="G17" s="129">
        <f t="shared" ref="G17:H17" si="3">G18</f>
        <v>171.6</v>
      </c>
      <c r="H17" s="129">
        <f t="shared" si="3"/>
        <v>178.6</v>
      </c>
    </row>
    <row r="18" spans="1:15" s="32" customFormat="1" ht="120.75" customHeight="1" x14ac:dyDescent="0.3">
      <c r="A18" s="146" t="s">
        <v>247</v>
      </c>
      <c r="B18" s="149" t="s">
        <v>133</v>
      </c>
      <c r="C18" s="146" t="s">
        <v>155</v>
      </c>
      <c r="D18" s="169" t="s">
        <v>135</v>
      </c>
      <c r="E18" s="146" t="s">
        <v>37</v>
      </c>
      <c r="F18" s="129">
        <f>ВСР!G136</f>
        <v>164.7</v>
      </c>
      <c r="G18" s="129">
        <f>ВСР!H136</f>
        <v>171.6</v>
      </c>
      <c r="H18" s="129">
        <f>ВСР!I136</f>
        <v>178.6</v>
      </c>
    </row>
    <row r="19" spans="1:15" s="32" customFormat="1" ht="56.25" customHeight="1" x14ac:dyDescent="0.3">
      <c r="A19" s="146" t="s">
        <v>45</v>
      </c>
      <c r="B19" s="149" t="s">
        <v>527</v>
      </c>
      <c r="C19" s="146" t="s">
        <v>155</v>
      </c>
      <c r="D19" s="146" t="str">
        <f>[2]ВСР!E123</f>
        <v>00204 00020</v>
      </c>
      <c r="E19" s="146"/>
      <c r="F19" s="129">
        <f>F20+F21+F22</f>
        <v>4262.3</v>
      </c>
      <c r="G19" s="129">
        <f t="shared" ref="G19" si="4">G20+G21+G22</f>
        <v>4315</v>
      </c>
      <c r="H19" s="129">
        <f>H20+H21+H22</f>
        <v>4479.6000000000004</v>
      </c>
    </row>
    <row r="20" spans="1:15" s="32" customFormat="1" ht="101.25" customHeight="1" x14ac:dyDescent="0.3">
      <c r="A20" s="146" t="s">
        <v>268</v>
      </c>
      <c r="B20" s="15" t="s">
        <v>36</v>
      </c>
      <c r="C20" s="146" t="s">
        <v>155</v>
      </c>
      <c r="D20" s="169" t="s">
        <v>136</v>
      </c>
      <c r="E20" s="146" t="s">
        <v>37</v>
      </c>
      <c r="F20" s="129">
        <f>ВСР!G138</f>
        <v>2256.3000000000002</v>
      </c>
      <c r="G20" s="129">
        <f>ВСР!H138</f>
        <v>2298.8000000000002</v>
      </c>
      <c r="H20" s="129">
        <f>ВСР!I138</f>
        <v>2298.8000000000002</v>
      </c>
    </row>
    <row r="21" spans="1:15" s="32" customFormat="1" ht="48.75" customHeight="1" x14ac:dyDescent="0.3">
      <c r="A21" s="146" t="s">
        <v>269</v>
      </c>
      <c r="B21" s="17" t="s">
        <v>355</v>
      </c>
      <c r="C21" s="146" t="s">
        <v>155</v>
      </c>
      <c r="D21" s="169" t="s">
        <v>136</v>
      </c>
      <c r="E21" s="146" t="s">
        <v>44</v>
      </c>
      <c r="F21" s="129">
        <f>ВСР!G139</f>
        <v>2001</v>
      </c>
      <c r="G21" s="129">
        <f>ВСР!H139</f>
        <v>2014.1</v>
      </c>
      <c r="H21" s="129">
        <f>ВСР!I139</f>
        <v>2179.5</v>
      </c>
    </row>
    <row r="22" spans="1:15" s="32" customFormat="1" ht="20.100000000000001" customHeight="1" x14ac:dyDescent="0.3">
      <c r="A22" s="146" t="s">
        <v>270</v>
      </c>
      <c r="B22" s="149" t="s">
        <v>46</v>
      </c>
      <c r="C22" s="146" t="s">
        <v>156</v>
      </c>
      <c r="D22" s="169" t="s">
        <v>136</v>
      </c>
      <c r="E22" s="146" t="s">
        <v>47</v>
      </c>
      <c r="F22" s="129">
        <f>ВСР!G140</f>
        <v>5</v>
      </c>
      <c r="G22" s="129">
        <f>ВСР!H140</f>
        <v>2.1</v>
      </c>
      <c r="H22" s="129">
        <f>ВСР!I140</f>
        <v>1.3</v>
      </c>
    </row>
    <row r="23" spans="1:15" s="32" customFormat="1" ht="78" customHeight="1" x14ac:dyDescent="0.3">
      <c r="A23" s="146" t="s">
        <v>8</v>
      </c>
      <c r="B23" s="147" t="s">
        <v>31</v>
      </c>
      <c r="C23" s="146" t="s">
        <v>157</v>
      </c>
      <c r="D23" s="169"/>
      <c r="E23" s="146"/>
      <c r="F23" s="129">
        <f>F24+F26+F30</f>
        <v>10008.100000000002</v>
      </c>
      <c r="G23" s="129">
        <f t="shared" ref="G23:H23" si="5">G24+G26+G30</f>
        <v>9241.0999999999985</v>
      </c>
      <c r="H23" s="129">
        <f t="shared" si="5"/>
        <v>11154.1</v>
      </c>
    </row>
    <row r="24" spans="1:15" s="32" customFormat="1" ht="20.100000000000001" customHeight="1" x14ac:dyDescent="0.3">
      <c r="A24" s="146" t="s">
        <v>58</v>
      </c>
      <c r="B24" s="15" t="s">
        <v>34</v>
      </c>
      <c r="C24" s="146" t="s">
        <v>158</v>
      </c>
      <c r="D24" s="146" t="str">
        <f>[2]ВСР!E15</f>
        <v>00205 00030</v>
      </c>
      <c r="E24" s="146"/>
      <c r="F24" s="129">
        <f>F25</f>
        <v>1637.4</v>
      </c>
      <c r="G24" s="129">
        <f t="shared" ref="G24:H24" si="6">G25</f>
        <v>1402.4</v>
      </c>
      <c r="H24" s="129">
        <f t="shared" si="6"/>
        <v>1460.6</v>
      </c>
    </row>
    <row r="25" spans="1:15" s="32" customFormat="1" ht="99.75" customHeight="1" x14ac:dyDescent="0.3">
      <c r="A25" s="146" t="s">
        <v>61</v>
      </c>
      <c r="B25" s="15" t="s">
        <v>36</v>
      </c>
      <c r="C25" s="146" t="s">
        <v>158</v>
      </c>
      <c r="D25" s="169" t="s">
        <v>35</v>
      </c>
      <c r="E25" s="16" t="s">
        <v>37</v>
      </c>
      <c r="F25" s="130">
        <f>ВСР!G15</f>
        <v>1637.4</v>
      </c>
      <c r="G25" s="130">
        <f>ВСР!H15</f>
        <v>1402.4</v>
      </c>
      <c r="H25" s="130">
        <f>ВСР!I15</f>
        <v>1460.6</v>
      </c>
    </row>
    <row r="26" spans="1:15" ht="76.5" customHeight="1" x14ac:dyDescent="0.3">
      <c r="A26" s="54" t="s">
        <v>62</v>
      </c>
      <c r="B26" s="170" t="s">
        <v>39</v>
      </c>
      <c r="C26" s="146" t="s">
        <v>158</v>
      </c>
      <c r="D26" s="146" t="str">
        <f>[2]ВСР!E17</f>
        <v>00206 00030</v>
      </c>
      <c r="E26" s="146"/>
      <c r="F26" s="129">
        <f>F27+F28+F29</f>
        <v>5380.4000000000005</v>
      </c>
      <c r="G26" s="129">
        <f t="shared" ref="G26:H26" si="7">G27+G28+G29</f>
        <v>4724.8999999999996</v>
      </c>
      <c r="H26" s="129">
        <f t="shared" si="7"/>
        <v>6452.4000000000005</v>
      </c>
    </row>
    <row r="27" spans="1:15" ht="99.75" customHeight="1" x14ac:dyDescent="0.3">
      <c r="A27" s="152" t="s">
        <v>65</v>
      </c>
      <c r="B27" s="171" t="s">
        <v>36</v>
      </c>
      <c r="C27" s="16" t="s">
        <v>158</v>
      </c>
      <c r="D27" s="169" t="s">
        <v>40</v>
      </c>
      <c r="E27" s="146" t="s">
        <v>37</v>
      </c>
      <c r="F27" s="129">
        <f>ВСР!G17</f>
        <v>4032.2000000000007</v>
      </c>
      <c r="G27" s="129">
        <f>ВСР!H17</f>
        <v>3636.1</v>
      </c>
      <c r="H27" s="129">
        <f>ВСР!I17</f>
        <v>5235.1000000000004</v>
      </c>
    </row>
    <row r="28" spans="1:15" s="4" customFormat="1" ht="41.45" customHeight="1" x14ac:dyDescent="0.3">
      <c r="A28" s="172" t="s">
        <v>375</v>
      </c>
      <c r="B28" s="173" t="s">
        <v>355</v>
      </c>
      <c r="C28" s="16" t="s">
        <v>158</v>
      </c>
      <c r="D28" s="169" t="s">
        <v>40</v>
      </c>
      <c r="E28" s="146" t="s">
        <v>44</v>
      </c>
      <c r="F28" s="130">
        <f>ВСР!G18</f>
        <v>1347.7</v>
      </c>
      <c r="G28" s="130">
        <f>ВСР!H18</f>
        <v>1088.8</v>
      </c>
      <c r="H28" s="130">
        <f>ВСР!I18</f>
        <v>1217.3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172" t="s">
        <v>376</v>
      </c>
      <c r="B29" s="174" t="s">
        <v>46</v>
      </c>
      <c r="C29" s="146" t="s">
        <v>158</v>
      </c>
      <c r="D29" s="169" t="s">
        <v>40</v>
      </c>
      <c r="E29" s="146" t="s">
        <v>47</v>
      </c>
      <c r="F29" s="130">
        <f>ВСР!G19</f>
        <v>0.5</v>
      </c>
      <c r="G29" s="130" t="str">
        <f>ВСР!H19</f>
        <v>0,0</v>
      </c>
      <c r="H29" s="130">
        <f>ВСР!I19</f>
        <v>0</v>
      </c>
    </row>
    <row r="30" spans="1:15" ht="101.25" customHeight="1" x14ac:dyDescent="0.3">
      <c r="A30" s="54" t="s">
        <v>66</v>
      </c>
      <c r="B30" s="18" t="s">
        <v>50</v>
      </c>
      <c r="C30" s="16" t="s">
        <v>158</v>
      </c>
      <c r="D30" s="21" t="str">
        <f>[2]ВСР!E22</f>
        <v>00200 G0850</v>
      </c>
      <c r="E30" s="16"/>
      <c r="F30" s="130">
        <f>SUM(F31:F32)</f>
        <v>2990.3</v>
      </c>
      <c r="G30" s="130">
        <f t="shared" ref="G30:H30" si="8">SUM(G31:G32)</f>
        <v>3113.8</v>
      </c>
      <c r="H30" s="130">
        <f t="shared" si="8"/>
        <v>3241.1</v>
      </c>
    </row>
    <row r="31" spans="1:15" ht="98.25" customHeight="1" x14ac:dyDescent="0.3">
      <c r="A31" s="172" t="s">
        <v>67</v>
      </c>
      <c r="B31" s="18" t="s">
        <v>36</v>
      </c>
      <c r="C31" s="16" t="s">
        <v>158</v>
      </c>
      <c r="D31" s="39" t="s">
        <v>51</v>
      </c>
      <c r="E31" s="16" t="s">
        <v>37</v>
      </c>
      <c r="F31" s="130">
        <f>ВСР!G21</f>
        <v>2746.3</v>
      </c>
      <c r="G31" s="130">
        <f>ВСР!H21</f>
        <v>2801.8</v>
      </c>
      <c r="H31" s="130">
        <f>ВСР!I21</f>
        <v>2916.6</v>
      </c>
    </row>
    <row r="32" spans="1:15" ht="37.5" x14ac:dyDescent="0.3">
      <c r="A32" s="54" t="s">
        <v>290</v>
      </c>
      <c r="B32" s="17" t="s">
        <v>43</v>
      </c>
      <c r="C32" s="16" t="s">
        <v>158</v>
      </c>
      <c r="D32" s="39" t="s">
        <v>51</v>
      </c>
      <c r="E32" s="16" t="s">
        <v>44</v>
      </c>
      <c r="F32" s="130">
        <f>ВСР!G22</f>
        <v>244</v>
      </c>
      <c r="G32" s="130">
        <f>ВСР!H22</f>
        <v>312</v>
      </c>
      <c r="H32" s="130">
        <f>ВСР!I22</f>
        <v>324.5</v>
      </c>
    </row>
    <row r="33" spans="1:8" ht="23.1" customHeight="1" x14ac:dyDescent="0.3">
      <c r="A33" s="54" t="s">
        <v>10</v>
      </c>
      <c r="B33" s="175" t="s">
        <v>159</v>
      </c>
      <c r="C33" s="16" t="s">
        <v>160</v>
      </c>
      <c r="D33" s="38"/>
      <c r="E33" s="16"/>
      <c r="F33" s="130">
        <f>F34</f>
        <v>39</v>
      </c>
      <c r="G33" s="130">
        <f t="shared" ref="G33:H34" si="9">G34</f>
        <v>36</v>
      </c>
      <c r="H33" s="130">
        <f t="shared" si="9"/>
        <v>35</v>
      </c>
    </row>
    <row r="34" spans="1:8" ht="18.75" x14ac:dyDescent="0.3">
      <c r="A34" s="54" t="s">
        <v>377</v>
      </c>
      <c r="B34" s="175" t="s">
        <v>570</v>
      </c>
      <c r="C34" s="16" t="s">
        <v>161</v>
      </c>
      <c r="D34" s="16" t="str">
        <f>[2]ВСР!E26</f>
        <v>07001 00060</v>
      </c>
      <c r="E34" s="16"/>
      <c r="F34" s="130">
        <f>F35</f>
        <v>39</v>
      </c>
      <c r="G34" s="130">
        <f t="shared" si="9"/>
        <v>36</v>
      </c>
      <c r="H34" s="130">
        <f t="shared" si="9"/>
        <v>35</v>
      </c>
    </row>
    <row r="35" spans="1:8" ht="18.75" x14ac:dyDescent="0.3">
      <c r="A35" s="54" t="s">
        <v>378</v>
      </c>
      <c r="B35" s="175" t="s">
        <v>46</v>
      </c>
      <c r="C35" s="16" t="s">
        <v>161</v>
      </c>
      <c r="D35" s="38" t="s">
        <v>54</v>
      </c>
      <c r="E35" s="16" t="s">
        <v>47</v>
      </c>
      <c r="F35" s="130">
        <f>ВСР!G25</f>
        <v>39</v>
      </c>
      <c r="G35" s="130">
        <f>ВСР!H25</f>
        <v>36</v>
      </c>
      <c r="H35" s="130">
        <f>ВСР!I25</f>
        <v>35</v>
      </c>
    </row>
    <row r="36" spans="1:8" ht="18.75" x14ac:dyDescent="0.3">
      <c r="A36" s="54" t="s">
        <v>330</v>
      </c>
      <c r="B36" s="175" t="s">
        <v>162</v>
      </c>
      <c r="C36" s="16" t="s">
        <v>163</v>
      </c>
      <c r="D36" s="38"/>
      <c r="E36" s="16"/>
      <c r="F36" s="130">
        <f>F50+F45+F39+F43+F47+F37+F55+F41</f>
        <v>11761.599999999997</v>
      </c>
      <c r="G36" s="130">
        <f>G50+G45+G39+G43+G47+G37+G55+G41</f>
        <v>11227.1</v>
      </c>
      <c r="H36" s="130">
        <f>H50+H45+H39+H43+H47+H37+H55+H41</f>
        <v>12583.6</v>
      </c>
    </row>
    <row r="37" spans="1:8" ht="37.5" x14ac:dyDescent="0.3">
      <c r="A37" s="54" t="s">
        <v>331</v>
      </c>
      <c r="B37" s="22" t="s">
        <v>59</v>
      </c>
      <c r="C37" s="16" t="s">
        <v>164</v>
      </c>
      <c r="D37" s="16" t="s">
        <v>60</v>
      </c>
      <c r="E37" s="16"/>
      <c r="F37" s="130">
        <f>F38</f>
        <v>480</v>
      </c>
      <c r="G37" s="130" t="str">
        <f t="shared" ref="G37:H37" si="10">G38</f>
        <v>499,2</v>
      </c>
      <c r="H37" s="130">
        <f t="shared" si="10"/>
        <v>519.20000000000005</v>
      </c>
    </row>
    <row r="38" spans="1:8" ht="37.5" x14ac:dyDescent="0.3">
      <c r="A38" s="54" t="s">
        <v>379</v>
      </c>
      <c r="B38" s="22" t="s">
        <v>43</v>
      </c>
      <c r="C38" s="16" t="s">
        <v>164</v>
      </c>
      <c r="D38" s="16" t="s">
        <v>60</v>
      </c>
      <c r="E38" s="16" t="s">
        <v>44</v>
      </c>
      <c r="F38" s="130">
        <f>ВСР!G28</f>
        <v>480</v>
      </c>
      <c r="G38" s="130" t="str">
        <f>ВСР!H28</f>
        <v>499,2</v>
      </c>
      <c r="H38" s="130">
        <f>ВСР!I28</f>
        <v>519.20000000000005</v>
      </c>
    </row>
    <row r="39" spans="1:8" s="31" customFormat="1" ht="18.75" x14ac:dyDescent="0.3">
      <c r="A39" s="54" t="s">
        <v>332</v>
      </c>
      <c r="B39" s="17" t="s">
        <v>238</v>
      </c>
      <c r="C39" s="16" t="s">
        <v>164</v>
      </c>
      <c r="D39" s="16" t="s">
        <v>239</v>
      </c>
      <c r="E39" s="16"/>
      <c r="F39" s="130">
        <f>F40</f>
        <v>23.4</v>
      </c>
      <c r="G39" s="130">
        <f t="shared" ref="G39:H43" si="11">G40</f>
        <v>50</v>
      </c>
      <c r="H39" s="130">
        <f t="shared" si="11"/>
        <v>50</v>
      </c>
    </row>
    <row r="40" spans="1:8" s="31" customFormat="1" ht="37.5" x14ac:dyDescent="0.3">
      <c r="A40" s="54" t="s">
        <v>380</v>
      </c>
      <c r="B40" s="22" t="s">
        <v>43</v>
      </c>
      <c r="C40" s="16" t="s">
        <v>164</v>
      </c>
      <c r="D40" s="16" t="s">
        <v>239</v>
      </c>
      <c r="E40" s="16" t="s">
        <v>44</v>
      </c>
      <c r="F40" s="130">
        <f>ВСР!G143+ВСР!G29</f>
        <v>23.4</v>
      </c>
      <c r="G40" s="130">
        <f>ВСР!H143+ВСР!H29</f>
        <v>50</v>
      </c>
      <c r="H40" s="130">
        <f>ВСР!I143+ВСР!I29</f>
        <v>50</v>
      </c>
    </row>
    <row r="41" spans="1:8" s="31" customFormat="1" ht="37.5" x14ac:dyDescent="0.3">
      <c r="A41" s="54" t="s">
        <v>332</v>
      </c>
      <c r="B41" s="17" t="s">
        <v>565</v>
      </c>
      <c r="C41" s="16" t="s">
        <v>164</v>
      </c>
      <c r="D41" s="16" t="s">
        <v>569</v>
      </c>
      <c r="E41" s="16"/>
      <c r="F41" s="130">
        <f>ВСР!G32</f>
        <v>503.8</v>
      </c>
      <c r="G41" s="130">
        <f t="shared" si="11"/>
        <v>518</v>
      </c>
      <c r="H41" s="130">
        <f t="shared" si="11"/>
        <v>1018</v>
      </c>
    </row>
    <row r="42" spans="1:8" s="31" customFormat="1" ht="18.75" x14ac:dyDescent="0.3">
      <c r="A42" s="54" t="s">
        <v>380</v>
      </c>
      <c r="B42" s="22" t="s">
        <v>46</v>
      </c>
      <c r="C42" s="16" t="s">
        <v>164</v>
      </c>
      <c r="D42" s="16" t="s">
        <v>569</v>
      </c>
      <c r="E42" s="16" t="s">
        <v>47</v>
      </c>
      <c r="F42" s="130">
        <f>ВСР!G145+ВСР!G31</f>
        <v>599.79999999999995</v>
      </c>
      <c r="G42" s="130">
        <f>ВСР!H145+ВСР!H31</f>
        <v>518</v>
      </c>
      <c r="H42" s="130">
        <f>ВСР!I145+ВСР!I31</f>
        <v>1018</v>
      </c>
    </row>
    <row r="43" spans="1:8" s="31" customFormat="1" ht="75" x14ac:dyDescent="0.3">
      <c r="A43" s="54" t="s">
        <v>333</v>
      </c>
      <c r="B43" s="17" t="s">
        <v>563</v>
      </c>
      <c r="C43" s="16" t="s">
        <v>164</v>
      </c>
      <c r="D43" s="16" t="s">
        <v>323</v>
      </c>
      <c r="E43" s="16"/>
      <c r="F43" s="130">
        <f>F44</f>
        <v>5</v>
      </c>
      <c r="G43" s="130" t="str">
        <f t="shared" si="11"/>
        <v>11,0</v>
      </c>
      <c r="H43" s="130">
        <f t="shared" si="11"/>
        <v>12</v>
      </c>
    </row>
    <row r="44" spans="1:8" s="31" customFormat="1" ht="37.5" x14ac:dyDescent="0.3">
      <c r="A44" s="54" t="s">
        <v>381</v>
      </c>
      <c r="B44" s="22" t="s">
        <v>43</v>
      </c>
      <c r="C44" s="16" t="s">
        <v>164</v>
      </c>
      <c r="D44" s="16" t="s">
        <v>323</v>
      </c>
      <c r="E44" s="16" t="s">
        <v>44</v>
      </c>
      <c r="F44" s="130">
        <f>ВСР!G34</f>
        <v>5</v>
      </c>
      <c r="G44" s="130" t="str">
        <f>ВСР!H34</f>
        <v>11,0</v>
      </c>
      <c r="H44" s="130">
        <f>ВСР!I34</f>
        <v>12</v>
      </c>
    </row>
    <row r="45" spans="1:8" ht="63.75" customHeight="1" x14ac:dyDescent="0.3">
      <c r="A45" s="54" t="s">
        <v>334</v>
      </c>
      <c r="B45" s="155" t="s">
        <v>216</v>
      </c>
      <c r="C45" s="146" t="s">
        <v>164</v>
      </c>
      <c r="D45" s="146" t="str">
        <f>[2]ВСР!E127</f>
        <v>09205 00440</v>
      </c>
      <c r="E45" s="146"/>
      <c r="F45" s="129">
        <f>F46</f>
        <v>96</v>
      </c>
      <c r="G45" s="129">
        <f t="shared" ref="G45:H45" si="12">G46</f>
        <v>0</v>
      </c>
      <c r="H45" s="129">
        <f t="shared" si="12"/>
        <v>0</v>
      </c>
    </row>
    <row r="46" spans="1:8" ht="18.75" x14ac:dyDescent="0.3">
      <c r="A46" s="54" t="s">
        <v>382</v>
      </c>
      <c r="B46" s="173" t="s">
        <v>46</v>
      </c>
      <c r="C46" s="146" t="s">
        <v>164</v>
      </c>
      <c r="D46" s="169" t="s">
        <v>137</v>
      </c>
      <c r="E46" s="146" t="s">
        <v>47</v>
      </c>
      <c r="F46" s="130">
        <f>ВСР!G145</f>
        <v>96</v>
      </c>
      <c r="G46" s="130">
        <f>ВСР!H145</f>
        <v>0</v>
      </c>
      <c r="H46" s="130">
        <f>ВСР!I145</f>
        <v>0</v>
      </c>
    </row>
    <row r="47" spans="1:8" ht="75.75" customHeight="1" x14ac:dyDescent="0.3">
      <c r="A47" s="54" t="s">
        <v>335</v>
      </c>
      <c r="B47" s="22" t="s">
        <v>48</v>
      </c>
      <c r="C47" s="16" t="s">
        <v>164</v>
      </c>
      <c r="D47" s="38" t="str">
        <f>D49</f>
        <v>09200 G0100</v>
      </c>
      <c r="E47" s="16"/>
      <c r="F47" s="130">
        <f>F48</f>
        <v>8.1</v>
      </c>
      <c r="G47" s="130">
        <f t="shared" ref="G47:H47" si="13">G48</f>
        <v>8.4</v>
      </c>
      <c r="H47" s="130">
        <f t="shared" si="13"/>
        <v>8.6999999999999993</v>
      </c>
    </row>
    <row r="48" spans="1:8" ht="86.25" customHeight="1" x14ac:dyDescent="0.3">
      <c r="A48" s="54" t="s">
        <v>373</v>
      </c>
      <c r="B48" s="22" t="s">
        <v>48</v>
      </c>
      <c r="C48" s="16" t="s">
        <v>164</v>
      </c>
      <c r="D48" s="38" t="str">
        <f>D49</f>
        <v>09200 G0100</v>
      </c>
      <c r="E48" s="16"/>
      <c r="F48" s="130">
        <f>F49</f>
        <v>8.1</v>
      </c>
      <c r="G48" s="130">
        <f t="shared" ref="G48:H48" si="14">G49</f>
        <v>8.4</v>
      </c>
      <c r="H48" s="130">
        <f t="shared" si="14"/>
        <v>8.6999999999999993</v>
      </c>
    </row>
    <row r="49" spans="1:8" ht="44.25" customHeight="1" x14ac:dyDescent="0.3">
      <c r="A49" s="172" t="s">
        <v>383</v>
      </c>
      <c r="B49" s="177" t="s">
        <v>43</v>
      </c>
      <c r="C49" s="16" t="s">
        <v>164</v>
      </c>
      <c r="D49" s="16" t="str">
        <f>ВСР!E36</f>
        <v>09200 G0100</v>
      </c>
      <c r="E49" s="16" t="s">
        <v>44</v>
      </c>
      <c r="F49" s="130">
        <f>ВСР!G36</f>
        <v>8.1</v>
      </c>
      <c r="G49" s="130">
        <f>ВСР!H36</f>
        <v>8.4</v>
      </c>
      <c r="H49" s="130">
        <f>ВСР!I36</f>
        <v>8.6999999999999993</v>
      </c>
    </row>
    <row r="50" spans="1:8" ht="99.75" customHeight="1" x14ac:dyDescent="0.3">
      <c r="A50" s="54" t="s">
        <v>374</v>
      </c>
      <c r="B50" s="178" t="s">
        <v>63</v>
      </c>
      <c r="C50" s="16" t="s">
        <v>164</v>
      </c>
      <c r="D50" s="21" t="str">
        <f>[2]ВСР!E32</f>
        <v>09201 00460</v>
      </c>
      <c r="E50" s="16"/>
      <c r="F50" s="130">
        <f>F51+F52+F54+F53</f>
        <v>10645.299999999997</v>
      </c>
      <c r="G50" s="130">
        <f t="shared" ref="G50:H50" si="15">G51+G52+G54+G53</f>
        <v>9266</v>
      </c>
      <c r="H50" s="130">
        <f t="shared" si="15"/>
        <v>9312.5999999999985</v>
      </c>
    </row>
    <row r="51" spans="1:8" ht="93.75" customHeight="1" x14ac:dyDescent="0.3">
      <c r="A51" s="54" t="s">
        <v>384</v>
      </c>
      <c r="B51" s="178" t="s">
        <v>36</v>
      </c>
      <c r="C51" s="16" t="s">
        <v>164</v>
      </c>
      <c r="D51" s="39" t="s">
        <v>64</v>
      </c>
      <c r="E51" s="16" t="s">
        <v>37</v>
      </c>
      <c r="F51" s="130">
        <f>ВСР!G38</f>
        <v>8507.0999999999985</v>
      </c>
      <c r="G51" s="130">
        <f>ВСР!H38</f>
        <v>8104.2</v>
      </c>
      <c r="H51" s="130">
        <f>ВСР!I38</f>
        <v>8104.2</v>
      </c>
    </row>
    <row r="52" spans="1:8" ht="37.5" x14ac:dyDescent="0.3">
      <c r="A52" s="54" t="s">
        <v>385</v>
      </c>
      <c r="B52" s="22" t="s">
        <v>43</v>
      </c>
      <c r="C52" s="16" t="s">
        <v>164</v>
      </c>
      <c r="D52" s="39" t="s">
        <v>64</v>
      </c>
      <c r="E52" s="16" t="s">
        <v>44</v>
      </c>
      <c r="F52" s="130">
        <f>ВСР!G39</f>
        <v>2101.4</v>
      </c>
      <c r="G52" s="130">
        <f>ВСР!H39</f>
        <v>1161.5</v>
      </c>
      <c r="H52" s="130">
        <f>ВСР!I39</f>
        <v>1208.0999999999999</v>
      </c>
    </row>
    <row r="53" spans="1:8" ht="37.5" x14ac:dyDescent="0.3">
      <c r="A53" s="54" t="s">
        <v>386</v>
      </c>
      <c r="B53" s="22" t="s">
        <v>574</v>
      </c>
      <c r="C53" s="16" t="s">
        <v>164</v>
      </c>
      <c r="D53" s="21" t="s">
        <v>64</v>
      </c>
      <c r="E53" s="16" t="s">
        <v>116</v>
      </c>
      <c r="F53" s="130">
        <f>ВСР!G40</f>
        <v>36.4</v>
      </c>
      <c r="G53" s="130">
        <v>0</v>
      </c>
      <c r="H53" s="130">
        <v>0</v>
      </c>
    </row>
    <row r="54" spans="1:8" ht="18.75" x14ac:dyDescent="0.3">
      <c r="A54" s="54" t="s">
        <v>575</v>
      </c>
      <c r="B54" s="173" t="s">
        <v>46</v>
      </c>
      <c r="C54" s="16" t="s">
        <v>164</v>
      </c>
      <c r="D54" s="39" t="s">
        <v>64</v>
      </c>
      <c r="E54" s="16" t="s">
        <v>47</v>
      </c>
      <c r="F54" s="130">
        <f>ВСР!G41</f>
        <v>0.4</v>
      </c>
      <c r="G54" s="130">
        <f>ВСР!H41</f>
        <v>0.3</v>
      </c>
      <c r="H54" s="130" t="str">
        <f>ВСР!I41</f>
        <v>0,3</v>
      </c>
    </row>
    <row r="55" spans="1:8" ht="18.75" x14ac:dyDescent="0.3">
      <c r="A55" s="54" t="s">
        <v>405</v>
      </c>
      <c r="B55" s="187" t="s">
        <v>403</v>
      </c>
      <c r="C55" s="16" t="s">
        <v>164</v>
      </c>
      <c r="D55" s="21" t="s">
        <v>311</v>
      </c>
      <c r="E55" s="16"/>
      <c r="F55" s="130">
        <f>F56</f>
        <v>0</v>
      </c>
      <c r="G55" s="130">
        <f>G56</f>
        <v>874.5</v>
      </c>
      <c r="H55" s="130">
        <f>H56</f>
        <v>1663.1</v>
      </c>
    </row>
    <row r="56" spans="1:8" ht="18.75" x14ac:dyDescent="0.3">
      <c r="A56" s="54" t="s">
        <v>404</v>
      </c>
      <c r="B56" s="187" t="s">
        <v>46</v>
      </c>
      <c r="C56" s="16" t="s">
        <v>164</v>
      </c>
      <c r="D56" s="21" t="s">
        <v>311</v>
      </c>
      <c r="E56" s="16" t="s">
        <v>47</v>
      </c>
      <c r="F56" s="130">
        <f>ВСР!G43</f>
        <v>0</v>
      </c>
      <c r="G56" s="130">
        <f>ВСР!H43</f>
        <v>874.5</v>
      </c>
      <c r="H56" s="130">
        <f>ВСР!I43</f>
        <v>1663.1</v>
      </c>
    </row>
    <row r="57" spans="1:8" ht="56.25" x14ac:dyDescent="0.3">
      <c r="A57" s="200" t="s">
        <v>13</v>
      </c>
      <c r="B57" s="213" t="s">
        <v>70</v>
      </c>
      <c r="C57" s="202" t="s">
        <v>154</v>
      </c>
      <c r="D57" s="210"/>
      <c r="E57" s="202"/>
      <c r="F57" s="208">
        <f>F58</f>
        <v>5</v>
      </c>
      <c r="G57" s="208">
        <f>G58</f>
        <v>5.2</v>
      </c>
      <c r="H57" s="208">
        <f t="shared" ref="G57:H59" si="16">H58</f>
        <v>5.5</v>
      </c>
    </row>
    <row r="58" spans="1:8" ht="64.5" customHeight="1" x14ac:dyDescent="0.3">
      <c r="A58" s="54" t="s">
        <v>11</v>
      </c>
      <c r="B58" s="179" t="s">
        <v>531</v>
      </c>
      <c r="C58" s="16" t="s">
        <v>165</v>
      </c>
      <c r="D58" s="38"/>
      <c r="E58" s="16"/>
      <c r="F58" s="130">
        <f>F59</f>
        <v>5</v>
      </c>
      <c r="G58" s="130">
        <f t="shared" si="16"/>
        <v>5.2</v>
      </c>
      <c r="H58" s="130">
        <f t="shared" si="16"/>
        <v>5.5</v>
      </c>
    </row>
    <row r="59" spans="1:8" ht="172.5" customHeight="1" x14ac:dyDescent="0.3">
      <c r="A59" s="54" t="s">
        <v>14</v>
      </c>
      <c r="B59" s="180" t="s">
        <v>73</v>
      </c>
      <c r="C59" s="16" t="s">
        <v>166</v>
      </c>
      <c r="D59" s="16" t="str">
        <f>[2]ВСР!E43</f>
        <v>21900 00090</v>
      </c>
      <c r="E59" s="16"/>
      <c r="F59" s="130">
        <f>F60</f>
        <v>5</v>
      </c>
      <c r="G59" s="130">
        <f t="shared" si="16"/>
        <v>5.2</v>
      </c>
      <c r="H59" s="130">
        <f t="shared" si="16"/>
        <v>5.5</v>
      </c>
    </row>
    <row r="60" spans="1:8" ht="42" customHeight="1" x14ac:dyDescent="0.3">
      <c r="A60" s="54" t="s">
        <v>387</v>
      </c>
      <c r="B60" s="22" t="s">
        <v>43</v>
      </c>
      <c r="C60" s="16" t="s">
        <v>166</v>
      </c>
      <c r="D60" s="38" t="s">
        <v>74</v>
      </c>
      <c r="E60" s="16" t="s">
        <v>44</v>
      </c>
      <c r="F60" s="130">
        <f>ВСР!G47</f>
        <v>5</v>
      </c>
      <c r="G60" s="130">
        <f>ВСР!H47</f>
        <v>5.2</v>
      </c>
      <c r="H60" s="130">
        <f>ВСР!I47</f>
        <v>5.5</v>
      </c>
    </row>
    <row r="61" spans="1:8" ht="18.75" x14ac:dyDescent="0.3">
      <c r="A61" s="200" t="s">
        <v>22</v>
      </c>
      <c r="B61" s="213" t="s">
        <v>75</v>
      </c>
      <c r="C61" s="202" t="s">
        <v>157</v>
      </c>
      <c r="D61" s="210"/>
      <c r="E61" s="202"/>
      <c r="F61" s="208">
        <f>F63+F66+F68</f>
        <v>10</v>
      </c>
      <c r="G61" s="208">
        <f t="shared" ref="G61:H61" si="17">G63+G66+G68</f>
        <v>10.4</v>
      </c>
      <c r="H61" s="208">
        <f t="shared" si="17"/>
        <v>11</v>
      </c>
    </row>
    <row r="62" spans="1:8" ht="18.75" x14ac:dyDescent="0.3">
      <c r="A62" s="54" t="s">
        <v>366</v>
      </c>
      <c r="B62" s="175" t="s">
        <v>411</v>
      </c>
      <c r="C62" s="16" t="s">
        <v>151</v>
      </c>
      <c r="D62" s="39"/>
      <c r="E62" s="16"/>
      <c r="F62" s="130">
        <f>F63</f>
        <v>0</v>
      </c>
      <c r="G62" s="130">
        <f t="shared" ref="G62:H63" si="18">G63</f>
        <v>0</v>
      </c>
      <c r="H62" s="130">
        <f t="shared" si="18"/>
        <v>0</v>
      </c>
    </row>
    <row r="63" spans="1:8" ht="75" x14ac:dyDescent="0.3">
      <c r="A63" s="54" t="s">
        <v>271</v>
      </c>
      <c r="B63" s="175" t="s">
        <v>543</v>
      </c>
      <c r="C63" s="16" t="s">
        <v>410</v>
      </c>
      <c r="D63" s="188">
        <v>5100000100</v>
      </c>
      <c r="E63" s="16"/>
      <c r="F63" s="130">
        <f>F64</f>
        <v>0</v>
      </c>
      <c r="G63" s="130">
        <f t="shared" si="18"/>
        <v>0</v>
      </c>
      <c r="H63" s="130">
        <f t="shared" si="18"/>
        <v>0</v>
      </c>
    </row>
    <row r="64" spans="1:8" ht="56.25" x14ac:dyDescent="0.3">
      <c r="A64" s="54" t="s">
        <v>248</v>
      </c>
      <c r="B64" s="175" t="s">
        <v>541</v>
      </c>
      <c r="C64" s="16" t="s">
        <v>410</v>
      </c>
      <c r="D64" s="188">
        <v>5100000100</v>
      </c>
      <c r="E64" s="16" t="s">
        <v>542</v>
      </c>
      <c r="F64" s="130">
        <f>ВСР!G51</f>
        <v>0</v>
      </c>
      <c r="G64" s="130">
        <f>ВСР!H51</f>
        <v>0</v>
      </c>
      <c r="H64" s="130">
        <f>ВСР!I51</f>
        <v>0</v>
      </c>
    </row>
    <row r="65" spans="1:8" ht="27" customHeight="1" x14ac:dyDescent="0.3">
      <c r="A65" s="54" t="s">
        <v>167</v>
      </c>
      <c r="B65" s="181" t="s">
        <v>77</v>
      </c>
      <c r="C65" s="16" t="s">
        <v>168</v>
      </c>
      <c r="D65" s="39"/>
      <c r="E65" s="16"/>
      <c r="F65" s="130">
        <f>F66+F68</f>
        <v>10</v>
      </c>
      <c r="G65" s="130">
        <f t="shared" ref="G65:H65" si="19">G66+G68</f>
        <v>10.4</v>
      </c>
      <c r="H65" s="130">
        <f t="shared" si="19"/>
        <v>11</v>
      </c>
    </row>
    <row r="66" spans="1:8" ht="75" x14ac:dyDescent="0.3">
      <c r="A66" s="54" t="s">
        <v>169</v>
      </c>
      <c r="B66" s="182" t="s">
        <v>571</v>
      </c>
      <c r="C66" s="16" t="s">
        <v>170</v>
      </c>
      <c r="D66" s="21" t="str">
        <f>[2]ВСР!E51</f>
        <v>34500 00100</v>
      </c>
      <c r="E66" s="16"/>
      <c r="F66" s="130">
        <f>F67</f>
        <v>5</v>
      </c>
      <c r="G66" s="130">
        <f t="shared" ref="G66:H68" si="20">G67</f>
        <v>5.2</v>
      </c>
      <c r="H66" s="130">
        <f t="shared" si="20"/>
        <v>5.5</v>
      </c>
    </row>
    <row r="67" spans="1:8" ht="37.5" x14ac:dyDescent="0.3">
      <c r="A67" s="54" t="s">
        <v>319</v>
      </c>
      <c r="B67" s="15" t="s">
        <v>43</v>
      </c>
      <c r="C67" s="16" t="s">
        <v>170</v>
      </c>
      <c r="D67" s="39" t="s">
        <v>79</v>
      </c>
      <c r="E67" s="16" t="s">
        <v>44</v>
      </c>
      <c r="F67" s="129">
        <f>ВСР!G54</f>
        <v>5</v>
      </c>
      <c r="G67" s="129">
        <f>ВСР!H54</f>
        <v>5.2</v>
      </c>
      <c r="H67" s="129">
        <f>ВСР!I54</f>
        <v>5.5</v>
      </c>
    </row>
    <row r="68" spans="1:8" ht="83.25" customHeight="1" x14ac:dyDescent="0.3">
      <c r="A68" s="54" t="s">
        <v>324</v>
      </c>
      <c r="B68" s="182" t="s">
        <v>533</v>
      </c>
      <c r="C68" s="16" t="s">
        <v>170</v>
      </c>
      <c r="D68" s="21" t="s">
        <v>310</v>
      </c>
      <c r="E68" s="16"/>
      <c r="F68" s="130">
        <f>F69</f>
        <v>5</v>
      </c>
      <c r="G68" s="130">
        <f t="shared" si="20"/>
        <v>5.2</v>
      </c>
      <c r="H68" s="130">
        <f t="shared" si="20"/>
        <v>5.5</v>
      </c>
    </row>
    <row r="69" spans="1:8" ht="45.75" customHeight="1" x14ac:dyDescent="0.3">
      <c r="A69" s="54" t="s">
        <v>388</v>
      </c>
      <c r="B69" s="15" t="s">
        <v>43</v>
      </c>
      <c r="C69" s="16" t="s">
        <v>170</v>
      </c>
      <c r="D69" s="21" t="s">
        <v>310</v>
      </c>
      <c r="E69" s="16" t="s">
        <v>44</v>
      </c>
      <c r="F69" s="129">
        <f>ВСР!G56</f>
        <v>5</v>
      </c>
      <c r="G69" s="129">
        <f>ВСР!H56</f>
        <v>5.2</v>
      </c>
      <c r="H69" s="129">
        <f>ВСР!I56</f>
        <v>5.5</v>
      </c>
    </row>
    <row r="70" spans="1:8" ht="23.1" customHeight="1" x14ac:dyDescent="0.3">
      <c r="A70" s="200" t="s">
        <v>23</v>
      </c>
      <c r="B70" s="212" t="s">
        <v>80</v>
      </c>
      <c r="C70" s="202" t="s">
        <v>171</v>
      </c>
      <c r="D70" s="203"/>
      <c r="E70" s="202"/>
      <c r="F70" s="211">
        <f>F71</f>
        <v>5761.2</v>
      </c>
      <c r="G70" s="211">
        <f>G71</f>
        <v>7746.6999999999989</v>
      </c>
      <c r="H70" s="211">
        <f t="shared" ref="H70" si="21">H71</f>
        <v>1825.0000000000002</v>
      </c>
    </row>
    <row r="71" spans="1:8" ht="18.75" x14ac:dyDescent="0.3">
      <c r="A71" s="54" t="s">
        <v>172</v>
      </c>
      <c r="B71" s="18" t="s">
        <v>82</v>
      </c>
      <c r="C71" s="16" t="s">
        <v>173</v>
      </c>
      <c r="D71" s="39"/>
      <c r="E71" s="16"/>
      <c r="F71" s="129">
        <f>F72+F74+F76+F78+F80+F82+F84+F88</f>
        <v>5761.2</v>
      </c>
      <c r="G71" s="129">
        <f>G72+G74+G76+G78+G80+G82+G84+G86+G88</f>
        <v>7746.6999999999989</v>
      </c>
      <c r="H71" s="129">
        <f t="shared" ref="H71" si="22">H72+H74+H76+H78+H80+H82+H84+H86+H88</f>
        <v>1825.0000000000002</v>
      </c>
    </row>
    <row r="72" spans="1:8" ht="45" customHeight="1" x14ac:dyDescent="0.3">
      <c r="A72" s="54" t="s">
        <v>240</v>
      </c>
      <c r="B72" s="17" t="s">
        <v>534</v>
      </c>
      <c r="C72" s="16" t="s">
        <v>174</v>
      </c>
      <c r="D72" s="21" t="str">
        <f>[2]ВСР!E56</f>
        <v>60001 00132</v>
      </c>
      <c r="E72" s="16"/>
      <c r="F72" s="129">
        <f>F73</f>
        <v>8.6</v>
      </c>
      <c r="G72" s="129">
        <f t="shared" ref="G72:H72" si="23">G73</f>
        <v>0</v>
      </c>
      <c r="H72" s="129">
        <f t="shared" si="23"/>
        <v>0</v>
      </c>
    </row>
    <row r="73" spans="1:8" ht="43.5" customHeight="1" x14ac:dyDescent="0.3">
      <c r="A73" s="54" t="s">
        <v>249</v>
      </c>
      <c r="B73" s="15" t="s">
        <v>43</v>
      </c>
      <c r="C73" s="16" t="s">
        <v>174</v>
      </c>
      <c r="D73" s="21" t="str">
        <f>[2]ВСР!E57</f>
        <v>60001 00132</v>
      </c>
      <c r="E73" s="16" t="s">
        <v>44</v>
      </c>
      <c r="F73" s="129">
        <f>ВСР!G60</f>
        <v>8.6</v>
      </c>
      <c r="G73" s="129">
        <f>ВСР!H60</f>
        <v>0</v>
      </c>
      <c r="H73" s="129">
        <f>ВСР!I60</f>
        <v>0</v>
      </c>
    </row>
    <row r="74" spans="1:8" ht="69.75" customHeight="1" x14ac:dyDescent="0.3">
      <c r="A74" s="54" t="s">
        <v>241</v>
      </c>
      <c r="B74" s="228" t="s">
        <v>535</v>
      </c>
      <c r="C74" s="16" t="s">
        <v>174</v>
      </c>
      <c r="D74" s="21" t="s">
        <v>211</v>
      </c>
      <c r="E74" s="16"/>
      <c r="F74" s="129">
        <f>F75</f>
        <v>80.5</v>
      </c>
      <c r="G74" s="129">
        <f t="shared" ref="G74:H74" si="24">G75</f>
        <v>108.4</v>
      </c>
      <c r="H74" s="129">
        <f t="shared" si="24"/>
        <v>112.7</v>
      </c>
    </row>
    <row r="75" spans="1:8" ht="44.25" customHeight="1" x14ac:dyDescent="0.3">
      <c r="A75" s="54" t="s">
        <v>250</v>
      </c>
      <c r="B75" s="17" t="s">
        <v>43</v>
      </c>
      <c r="C75" s="16" t="s">
        <v>174</v>
      </c>
      <c r="D75" s="21" t="s">
        <v>211</v>
      </c>
      <c r="E75" s="16" t="s">
        <v>44</v>
      </c>
      <c r="F75" s="129">
        <f>ВСР!G62</f>
        <v>80.5</v>
      </c>
      <c r="G75" s="129">
        <f>ВСР!H62</f>
        <v>108.4</v>
      </c>
      <c r="H75" s="129">
        <f>ВСР!I62</f>
        <v>112.7</v>
      </c>
    </row>
    <row r="76" spans="1:8" ht="32.25" x14ac:dyDescent="0.3">
      <c r="A76" s="54" t="s">
        <v>242</v>
      </c>
      <c r="B76" s="228" t="s">
        <v>536</v>
      </c>
      <c r="C76" s="16" t="s">
        <v>174</v>
      </c>
      <c r="D76" s="21" t="str">
        <f>[2]ВСР!E63</f>
        <v>60003 00151</v>
      </c>
      <c r="E76" s="16"/>
      <c r="F76" s="129">
        <f>F77</f>
        <v>3139.1</v>
      </c>
      <c r="G76" s="129">
        <f t="shared" ref="G76:H76" si="25">G77</f>
        <v>578.70000000000005</v>
      </c>
      <c r="H76" s="129">
        <f t="shared" si="25"/>
        <v>601.79999999999995</v>
      </c>
    </row>
    <row r="77" spans="1:8" ht="51" customHeight="1" x14ac:dyDescent="0.3">
      <c r="A77" s="54" t="s">
        <v>251</v>
      </c>
      <c r="B77" s="17" t="s">
        <v>43</v>
      </c>
      <c r="C77" s="16" t="s">
        <v>174</v>
      </c>
      <c r="D77" s="39" t="s">
        <v>85</v>
      </c>
      <c r="E77" s="16" t="s">
        <v>44</v>
      </c>
      <c r="F77" s="129">
        <f>ВСР!G64</f>
        <v>3139.1</v>
      </c>
      <c r="G77" s="129">
        <f>ВСР!H64</f>
        <v>578.70000000000005</v>
      </c>
      <c r="H77" s="129">
        <f>ВСР!I64</f>
        <v>601.79999999999995</v>
      </c>
    </row>
    <row r="78" spans="1:8" ht="42" customHeight="1" x14ac:dyDescent="0.3">
      <c r="A78" s="54" t="s">
        <v>243</v>
      </c>
      <c r="B78" s="228" t="s">
        <v>578</v>
      </c>
      <c r="C78" s="16" t="s">
        <v>174</v>
      </c>
      <c r="D78" s="21" t="s">
        <v>212</v>
      </c>
      <c r="E78" s="16"/>
      <c r="F78" s="129">
        <f>F79</f>
        <v>54.500000000000014</v>
      </c>
      <c r="G78" s="129">
        <f t="shared" ref="G78:H78" si="26">G79</f>
        <v>95.2</v>
      </c>
      <c r="H78" s="129">
        <f t="shared" si="26"/>
        <v>99.1</v>
      </c>
    </row>
    <row r="79" spans="1:8" ht="37.5" x14ac:dyDescent="0.3">
      <c r="A79" s="54" t="s">
        <v>252</v>
      </c>
      <c r="B79" s="17" t="s">
        <v>43</v>
      </c>
      <c r="C79" s="16" t="s">
        <v>174</v>
      </c>
      <c r="D79" s="21" t="s">
        <v>212</v>
      </c>
      <c r="E79" s="16" t="s">
        <v>44</v>
      </c>
      <c r="F79" s="129">
        <f>ВСР!G66</f>
        <v>54.500000000000014</v>
      </c>
      <c r="G79" s="129">
        <f>ВСР!H66</f>
        <v>95.2</v>
      </c>
      <c r="H79" s="129">
        <f>ВСР!I66</f>
        <v>99.1</v>
      </c>
    </row>
    <row r="80" spans="1:8" ht="55.5" customHeight="1" x14ac:dyDescent="0.3">
      <c r="A80" s="54" t="s">
        <v>244</v>
      </c>
      <c r="B80" s="228" t="s">
        <v>537</v>
      </c>
      <c r="C80" s="16" t="s">
        <v>174</v>
      </c>
      <c r="D80" s="21" t="s">
        <v>213</v>
      </c>
      <c r="E80" s="16"/>
      <c r="F80" s="129">
        <f>F81</f>
        <v>1404.2</v>
      </c>
      <c r="G80" s="129">
        <f t="shared" ref="G80:H80" si="27">G81</f>
        <v>813.6</v>
      </c>
      <c r="H80" s="129">
        <f t="shared" si="27"/>
        <v>854.3</v>
      </c>
    </row>
    <row r="81" spans="1:8" ht="37.5" x14ac:dyDescent="0.3">
      <c r="A81" s="54" t="s">
        <v>253</v>
      </c>
      <c r="B81" s="17" t="s">
        <v>43</v>
      </c>
      <c r="C81" s="16" t="s">
        <v>174</v>
      </c>
      <c r="D81" s="21" t="s">
        <v>213</v>
      </c>
      <c r="E81" s="16" t="s">
        <v>44</v>
      </c>
      <c r="F81" s="129">
        <f>ВСР!G68</f>
        <v>1404.2</v>
      </c>
      <c r="G81" s="129">
        <f>ВСР!H68</f>
        <v>813.6</v>
      </c>
      <c r="H81" s="129">
        <f>ВСР!I68</f>
        <v>854.3</v>
      </c>
    </row>
    <row r="82" spans="1:8" ht="39.75" customHeight="1" x14ac:dyDescent="0.3">
      <c r="A82" s="54" t="s">
        <v>245</v>
      </c>
      <c r="B82" s="228" t="s">
        <v>538</v>
      </c>
      <c r="C82" s="16" t="s">
        <v>174</v>
      </c>
      <c r="D82" s="21" t="s">
        <v>214</v>
      </c>
      <c r="E82" s="16"/>
      <c r="F82" s="129">
        <f>F83</f>
        <v>1064.3</v>
      </c>
      <c r="G82" s="129">
        <f t="shared" ref="G82:H82" si="28">G83</f>
        <v>6140.4</v>
      </c>
      <c r="H82" s="129">
        <f t="shared" si="28"/>
        <v>146.19999999999999</v>
      </c>
    </row>
    <row r="83" spans="1:8" ht="37.5" x14ac:dyDescent="0.3">
      <c r="A83" s="54" t="s">
        <v>254</v>
      </c>
      <c r="B83" s="17" t="s">
        <v>43</v>
      </c>
      <c r="C83" s="16" t="s">
        <v>174</v>
      </c>
      <c r="D83" s="21" t="s">
        <v>214</v>
      </c>
      <c r="E83" s="16" t="s">
        <v>44</v>
      </c>
      <c r="F83" s="129">
        <f>ВСР!G70</f>
        <v>1064.3</v>
      </c>
      <c r="G83" s="129">
        <f>ВСР!H70</f>
        <v>6140.4</v>
      </c>
      <c r="H83" s="129">
        <f>ВСР!I70</f>
        <v>146.19999999999999</v>
      </c>
    </row>
    <row r="84" spans="1:8" ht="59.25" customHeight="1" x14ac:dyDescent="0.3">
      <c r="A84" s="54" t="s">
        <v>246</v>
      </c>
      <c r="B84" s="238" t="s">
        <v>539</v>
      </c>
      <c r="C84" s="16" t="s">
        <v>174</v>
      </c>
      <c r="D84" s="21" t="s">
        <v>468</v>
      </c>
      <c r="E84" s="16"/>
      <c r="F84" s="129">
        <f>F85+F86+F87</f>
        <v>-2.8421709430404007E-13</v>
      </c>
      <c r="G84" s="129">
        <f t="shared" ref="G84:H84" si="29">G85+G86+G87</f>
        <v>0</v>
      </c>
      <c r="H84" s="129">
        <f t="shared" si="29"/>
        <v>0</v>
      </c>
    </row>
    <row r="85" spans="1:8" ht="37.5" x14ac:dyDescent="0.3">
      <c r="A85" s="54" t="s">
        <v>255</v>
      </c>
      <c r="B85" s="17" t="s">
        <v>43</v>
      </c>
      <c r="C85" s="16" t="s">
        <v>174</v>
      </c>
      <c r="D85" s="21" t="s">
        <v>86</v>
      </c>
      <c r="E85" s="16" t="s">
        <v>44</v>
      </c>
      <c r="F85" s="129">
        <f>ВСР!G72</f>
        <v>-2.8421709430404007E-13</v>
      </c>
      <c r="G85" s="129">
        <f>ВСР!H72</f>
        <v>0</v>
      </c>
      <c r="H85" s="129">
        <f>ВСР!I72</f>
        <v>0</v>
      </c>
    </row>
    <row r="86" spans="1:8" ht="37.5" x14ac:dyDescent="0.3">
      <c r="A86" s="54" t="s">
        <v>463</v>
      </c>
      <c r="B86" s="17" t="s">
        <v>355</v>
      </c>
      <c r="C86" s="16" t="s">
        <v>174</v>
      </c>
      <c r="D86" s="21" t="s">
        <v>312</v>
      </c>
      <c r="E86" s="16" t="s">
        <v>44</v>
      </c>
      <c r="F86" s="129">
        <f>ВСР!G73</f>
        <v>0</v>
      </c>
      <c r="G86" s="129">
        <f>ВСР!H73</f>
        <v>0</v>
      </c>
      <c r="H86" s="129">
        <f>ВСР!I73</f>
        <v>0</v>
      </c>
    </row>
    <row r="87" spans="1:8" ht="37.5" x14ac:dyDescent="0.3">
      <c r="A87" s="54" t="s">
        <v>464</v>
      </c>
      <c r="B87" s="17" t="s">
        <v>355</v>
      </c>
      <c r="C87" s="16" t="s">
        <v>174</v>
      </c>
      <c r="D87" s="21" t="s">
        <v>312</v>
      </c>
      <c r="E87" s="16" t="s">
        <v>44</v>
      </c>
      <c r="F87" s="129">
        <f>ВСР!G74</f>
        <v>0</v>
      </c>
      <c r="G87" s="129">
        <f>ВСР!H74</f>
        <v>0</v>
      </c>
      <c r="H87" s="129">
        <f>ВСР!I74</f>
        <v>0</v>
      </c>
    </row>
    <row r="88" spans="1:8" ht="107.25" customHeight="1" x14ac:dyDescent="0.3">
      <c r="A88" s="54" t="s">
        <v>414</v>
      </c>
      <c r="B88" s="285" t="s">
        <v>540</v>
      </c>
      <c r="C88" s="16" t="s">
        <v>174</v>
      </c>
      <c r="D88" s="21" t="s">
        <v>413</v>
      </c>
      <c r="E88" s="16"/>
      <c r="F88" s="129">
        <f>F89</f>
        <v>10</v>
      </c>
      <c r="G88" s="129" t="str">
        <f t="shared" ref="G88:H88" si="30">G89</f>
        <v>10,4</v>
      </c>
      <c r="H88" s="129">
        <f t="shared" si="30"/>
        <v>10.9</v>
      </c>
    </row>
    <row r="89" spans="1:8" ht="37.5" x14ac:dyDescent="0.3">
      <c r="A89" s="54" t="s">
        <v>415</v>
      </c>
      <c r="B89" s="17" t="s">
        <v>355</v>
      </c>
      <c r="C89" s="16" t="s">
        <v>174</v>
      </c>
      <c r="D89" s="21" t="s">
        <v>413</v>
      </c>
      <c r="E89" s="16" t="s">
        <v>44</v>
      </c>
      <c r="F89" s="129">
        <f>ВСР!G76</f>
        <v>10</v>
      </c>
      <c r="G89" s="129" t="str">
        <f>ВСР!H76</f>
        <v>10,4</v>
      </c>
      <c r="H89" s="129">
        <f>ВСР!I76</f>
        <v>10.9</v>
      </c>
    </row>
    <row r="90" spans="1:8" ht="18.75" x14ac:dyDescent="0.3">
      <c r="A90" s="200" t="s">
        <v>24</v>
      </c>
      <c r="B90" s="201" t="s">
        <v>87</v>
      </c>
      <c r="C90" s="202" t="s">
        <v>175</v>
      </c>
      <c r="D90" s="203"/>
      <c r="E90" s="202"/>
      <c r="F90" s="211">
        <f>F92</f>
        <v>5</v>
      </c>
      <c r="G90" s="211">
        <f t="shared" ref="G90:H90" si="31">G92</f>
        <v>5.2</v>
      </c>
      <c r="H90" s="211">
        <f t="shared" si="31"/>
        <v>5.5</v>
      </c>
    </row>
    <row r="91" spans="1:8" ht="37.5" x14ac:dyDescent="0.3">
      <c r="A91" s="54" t="s">
        <v>176</v>
      </c>
      <c r="B91" s="17" t="s">
        <v>89</v>
      </c>
      <c r="C91" s="16" t="s">
        <v>171</v>
      </c>
      <c r="D91" s="39"/>
      <c r="E91" s="16"/>
      <c r="F91" s="129">
        <f>F92</f>
        <v>5</v>
      </c>
      <c r="G91" s="129">
        <f t="shared" ref="G91:H92" si="32">G92</f>
        <v>5.2</v>
      </c>
      <c r="H91" s="129">
        <f t="shared" si="32"/>
        <v>5.5</v>
      </c>
    </row>
    <row r="92" spans="1:8" ht="51.75" customHeight="1" x14ac:dyDescent="0.3">
      <c r="A92" s="54" t="s">
        <v>177</v>
      </c>
      <c r="B92" s="228" t="s">
        <v>561</v>
      </c>
      <c r="C92" s="16" t="s">
        <v>178</v>
      </c>
      <c r="D92" s="21" t="str">
        <f>[2]ВСР!E79</f>
        <v>41000 00170</v>
      </c>
      <c r="E92" s="16"/>
      <c r="F92" s="129">
        <f>F93</f>
        <v>5</v>
      </c>
      <c r="G92" s="129">
        <f t="shared" si="32"/>
        <v>5.2</v>
      </c>
      <c r="H92" s="129">
        <f t="shared" si="32"/>
        <v>5.5</v>
      </c>
    </row>
    <row r="93" spans="1:8" ht="37.5" x14ac:dyDescent="0.3">
      <c r="A93" s="54" t="s">
        <v>256</v>
      </c>
      <c r="B93" s="17" t="s">
        <v>43</v>
      </c>
      <c r="C93" s="16" t="s">
        <v>178</v>
      </c>
      <c r="D93" s="39" t="s">
        <v>91</v>
      </c>
      <c r="E93" s="16" t="s">
        <v>44</v>
      </c>
      <c r="F93" s="129">
        <f>ВСР!G80</f>
        <v>5</v>
      </c>
      <c r="G93" s="129">
        <f>ВСР!H80</f>
        <v>5.2</v>
      </c>
      <c r="H93" s="129">
        <f>ВСР!I80</f>
        <v>5.5</v>
      </c>
    </row>
    <row r="94" spans="1:8" ht="18.75" x14ac:dyDescent="0.3">
      <c r="A94" s="200" t="s">
        <v>25</v>
      </c>
      <c r="B94" s="201" t="s">
        <v>92</v>
      </c>
      <c r="C94" s="202" t="s">
        <v>179</v>
      </c>
      <c r="D94" s="210"/>
      <c r="E94" s="202"/>
      <c r="F94" s="211">
        <f>F95+F98</f>
        <v>63.6</v>
      </c>
      <c r="G94" s="211">
        <f>G95+G98</f>
        <v>66.3</v>
      </c>
      <c r="H94" s="211">
        <f>H95+H98</f>
        <v>69.3</v>
      </c>
    </row>
    <row r="95" spans="1:8" ht="38.450000000000003" customHeight="1" x14ac:dyDescent="0.3">
      <c r="A95" s="54" t="s">
        <v>180</v>
      </c>
      <c r="B95" s="183" t="s">
        <v>94</v>
      </c>
      <c r="C95" s="16" t="s">
        <v>171</v>
      </c>
      <c r="D95" s="38"/>
      <c r="E95" s="16"/>
      <c r="F95" s="129">
        <f>F96</f>
        <v>38.200000000000003</v>
      </c>
      <c r="G95" s="129" t="str">
        <f t="shared" ref="G95:H96" si="33">G96</f>
        <v>39,8</v>
      </c>
      <c r="H95" s="129" t="str">
        <f t="shared" si="33"/>
        <v>41,4</v>
      </c>
    </row>
    <row r="96" spans="1:8" ht="112.5" customHeight="1" x14ac:dyDescent="0.3">
      <c r="A96" s="54" t="s">
        <v>275</v>
      </c>
      <c r="B96" s="17" t="s">
        <v>98</v>
      </c>
      <c r="C96" s="16" t="s">
        <v>181</v>
      </c>
      <c r="D96" s="38" t="s">
        <v>97</v>
      </c>
      <c r="E96" s="16"/>
      <c r="F96" s="129">
        <f>F97</f>
        <v>38.200000000000003</v>
      </c>
      <c r="G96" s="129" t="str">
        <f t="shared" si="33"/>
        <v>39,8</v>
      </c>
      <c r="H96" s="129" t="str">
        <f t="shared" si="33"/>
        <v>41,4</v>
      </c>
    </row>
    <row r="97" spans="1:8" ht="44.25" customHeight="1" x14ac:dyDescent="0.3">
      <c r="A97" s="54" t="s">
        <v>257</v>
      </c>
      <c r="B97" s="17" t="s">
        <v>43</v>
      </c>
      <c r="C97" s="16" t="s">
        <v>181</v>
      </c>
      <c r="D97" s="38" t="s">
        <v>97</v>
      </c>
      <c r="E97" s="16" t="s">
        <v>44</v>
      </c>
      <c r="F97" s="129">
        <f>ВСР!G84</f>
        <v>38.200000000000003</v>
      </c>
      <c r="G97" s="129" t="str">
        <f>ВСР!H84</f>
        <v>39,8</v>
      </c>
      <c r="H97" s="129" t="str">
        <f>ВСР!I84</f>
        <v>41,4</v>
      </c>
    </row>
    <row r="98" spans="1:8" ht="41.25" customHeight="1" x14ac:dyDescent="0.3">
      <c r="A98" s="54" t="s">
        <v>182</v>
      </c>
      <c r="B98" s="17" t="s">
        <v>100</v>
      </c>
      <c r="C98" s="16" t="s">
        <v>184</v>
      </c>
      <c r="D98" s="39"/>
      <c r="E98" s="16"/>
      <c r="F98" s="129">
        <f>F99+F101+F103+F105+F107+F109</f>
        <v>25.4</v>
      </c>
      <c r="G98" s="129">
        <f t="shared" ref="G98:H98" si="34">G99+G101+G103+G105+G107+G109</f>
        <v>26.5</v>
      </c>
      <c r="H98" s="129">
        <f t="shared" si="34"/>
        <v>27.900000000000002</v>
      </c>
    </row>
    <row r="99" spans="1:8" ht="65.25" customHeight="1" x14ac:dyDescent="0.3">
      <c r="A99" s="54" t="s">
        <v>183</v>
      </c>
      <c r="B99" s="228" t="s">
        <v>544</v>
      </c>
      <c r="C99" s="16" t="s">
        <v>186</v>
      </c>
      <c r="D99" s="16" t="str">
        <f>[2]ВСР!E87</f>
        <v>79505 00190</v>
      </c>
      <c r="E99" s="16"/>
      <c r="F99" s="129">
        <f>F100</f>
        <v>2.4</v>
      </c>
      <c r="G99" s="129" t="str">
        <f t="shared" ref="G99:H99" si="35">G100</f>
        <v>2,5</v>
      </c>
      <c r="H99" s="129">
        <f t="shared" si="35"/>
        <v>2.6</v>
      </c>
    </row>
    <row r="100" spans="1:8" ht="48" customHeight="1" x14ac:dyDescent="0.3">
      <c r="A100" s="54" t="s">
        <v>258</v>
      </c>
      <c r="B100" s="17" t="s">
        <v>43</v>
      </c>
      <c r="C100" s="16" t="s">
        <v>186</v>
      </c>
      <c r="D100" s="38" t="s">
        <v>99</v>
      </c>
      <c r="E100" s="16" t="s">
        <v>44</v>
      </c>
      <c r="F100" s="129">
        <f>ВСР!G87</f>
        <v>2.4</v>
      </c>
      <c r="G100" s="129" t="str">
        <f>ВСР!H87</f>
        <v>2,5</v>
      </c>
      <c r="H100" s="129">
        <f>ВСР!I87</f>
        <v>2.6</v>
      </c>
    </row>
    <row r="101" spans="1:8" ht="69.75" customHeight="1" x14ac:dyDescent="0.3">
      <c r="A101" s="54" t="s">
        <v>325</v>
      </c>
      <c r="B101" s="228" t="s">
        <v>545</v>
      </c>
      <c r="C101" s="19" t="s">
        <v>186</v>
      </c>
      <c r="D101" s="16" t="str">
        <f>[2]ВСР!E90</f>
        <v>79506 00510</v>
      </c>
      <c r="E101" s="16"/>
      <c r="F101" s="129">
        <f>F102</f>
        <v>5</v>
      </c>
      <c r="G101" s="129">
        <f t="shared" ref="G101:H101" si="36">G102</f>
        <v>5.2</v>
      </c>
      <c r="H101" s="129">
        <f t="shared" si="36"/>
        <v>5.5</v>
      </c>
    </row>
    <row r="102" spans="1:8" ht="37.5" x14ac:dyDescent="0.3">
      <c r="A102" s="54" t="s">
        <v>367</v>
      </c>
      <c r="B102" s="17" t="s">
        <v>43</v>
      </c>
      <c r="C102" s="19" t="s">
        <v>186</v>
      </c>
      <c r="D102" s="16" t="str">
        <f>[2]ВСР!E91</f>
        <v>79506 00510</v>
      </c>
      <c r="E102" s="16" t="s">
        <v>44</v>
      </c>
      <c r="F102" s="129">
        <f>ВСР!G89</f>
        <v>5</v>
      </c>
      <c r="G102" s="129">
        <f>ВСР!H89</f>
        <v>5.2</v>
      </c>
      <c r="H102" s="129">
        <f>ВСР!I89</f>
        <v>5.5</v>
      </c>
    </row>
    <row r="103" spans="1:8" ht="111" customHeight="1" x14ac:dyDescent="0.3">
      <c r="A103" s="54" t="s">
        <v>326</v>
      </c>
      <c r="B103" s="233" t="s">
        <v>546</v>
      </c>
      <c r="C103" s="16" t="s">
        <v>186</v>
      </c>
      <c r="D103" s="16" t="str">
        <f>[2]ВСР!E38</f>
        <v>79508 00520</v>
      </c>
      <c r="E103" s="16"/>
      <c r="F103" s="130">
        <f>F104</f>
        <v>5</v>
      </c>
      <c r="G103" s="130">
        <f>G104</f>
        <v>5.2</v>
      </c>
      <c r="H103" s="130">
        <f>H104</f>
        <v>5.5</v>
      </c>
    </row>
    <row r="104" spans="1:8" ht="36.950000000000003" customHeight="1" x14ac:dyDescent="0.3">
      <c r="A104" s="54" t="s">
        <v>368</v>
      </c>
      <c r="B104" s="22" t="s">
        <v>43</v>
      </c>
      <c r="C104" s="16" t="s">
        <v>186</v>
      </c>
      <c r="D104" s="38" t="s">
        <v>69</v>
      </c>
      <c r="E104" s="16" t="s">
        <v>44</v>
      </c>
      <c r="F104" s="130">
        <f>ВСР!G91</f>
        <v>5</v>
      </c>
      <c r="G104" s="130">
        <f>ВСР!H91</f>
        <v>5.2</v>
      </c>
      <c r="H104" s="130">
        <f>ВСР!I91</f>
        <v>5.5</v>
      </c>
    </row>
    <row r="105" spans="1:8" ht="77.25" customHeight="1" x14ac:dyDescent="0.3">
      <c r="A105" s="54" t="s">
        <v>327</v>
      </c>
      <c r="B105" s="246" t="s">
        <v>547</v>
      </c>
      <c r="C105" s="16" t="s">
        <v>186</v>
      </c>
      <c r="D105" s="16" t="str">
        <f>[2]ВСР!E92</f>
        <v>79512 00490</v>
      </c>
      <c r="E105" s="16"/>
      <c r="F105" s="129">
        <f>F106</f>
        <v>5</v>
      </c>
      <c r="G105" s="129" t="str">
        <f t="shared" ref="G105:H105" si="37">G106</f>
        <v>5,2</v>
      </c>
      <c r="H105" s="129">
        <f t="shared" si="37"/>
        <v>5.5</v>
      </c>
    </row>
    <row r="106" spans="1:8" ht="38.450000000000003" customHeight="1" x14ac:dyDescent="0.3">
      <c r="A106" s="54" t="s">
        <v>369</v>
      </c>
      <c r="B106" s="17" t="s">
        <v>43</v>
      </c>
      <c r="C106" s="19" t="s">
        <v>186</v>
      </c>
      <c r="D106" s="38" t="s">
        <v>103</v>
      </c>
      <c r="E106" s="16" t="s">
        <v>44</v>
      </c>
      <c r="F106" s="129">
        <f>ВСР!G93</f>
        <v>5</v>
      </c>
      <c r="G106" s="129" t="str">
        <f>ВСР!H93</f>
        <v>5,2</v>
      </c>
      <c r="H106" s="129">
        <f>ВСР!I93</f>
        <v>5.5</v>
      </c>
    </row>
    <row r="107" spans="1:8" ht="73.5" customHeight="1" x14ac:dyDescent="0.3">
      <c r="A107" s="54" t="s">
        <v>328</v>
      </c>
      <c r="B107" s="228" t="s">
        <v>548</v>
      </c>
      <c r="C107" s="19" t="s">
        <v>186</v>
      </c>
      <c r="D107" s="16" t="str">
        <f>[2]ВСР!E94</f>
        <v>79514 00530</v>
      </c>
      <c r="E107" s="16"/>
      <c r="F107" s="129">
        <f>F108</f>
        <v>5</v>
      </c>
      <c r="G107" s="129" t="str">
        <f t="shared" ref="G107:H109" si="38">G108</f>
        <v>5,2</v>
      </c>
      <c r="H107" s="129">
        <f t="shared" si="38"/>
        <v>5.5</v>
      </c>
    </row>
    <row r="108" spans="1:8" ht="38.25" customHeight="1" x14ac:dyDescent="0.3">
      <c r="A108" s="54" t="s">
        <v>370</v>
      </c>
      <c r="B108" s="17" t="s">
        <v>43</v>
      </c>
      <c r="C108" s="19" t="s">
        <v>186</v>
      </c>
      <c r="D108" s="16" t="s">
        <v>104</v>
      </c>
      <c r="E108" s="16" t="s">
        <v>44</v>
      </c>
      <c r="F108" s="129">
        <f>ВСР!G95</f>
        <v>5</v>
      </c>
      <c r="G108" s="129" t="str">
        <f>ВСР!H95</f>
        <v>5,2</v>
      </c>
      <c r="H108" s="129">
        <f>ВСР!I95</f>
        <v>5.5</v>
      </c>
    </row>
    <row r="109" spans="1:8" ht="148.5" customHeight="1" x14ac:dyDescent="0.3">
      <c r="A109" s="54" t="s">
        <v>329</v>
      </c>
      <c r="B109" s="224" t="s">
        <v>549</v>
      </c>
      <c r="C109" s="19" t="s">
        <v>186</v>
      </c>
      <c r="D109" s="16" t="s">
        <v>320</v>
      </c>
      <c r="E109" s="16"/>
      <c r="F109" s="129">
        <f>ВСР!G96</f>
        <v>3</v>
      </c>
      <c r="G109" s="129" t="str">
        <f t="shared" si="38"/>
        <v>3,2</v>
      </c>
      <c r="H109" s="129">
        <f t="shared" si="38"/>
        <v>3.3</v>
      </c>
    </row>
    <row r="110" spans="1:8" ht="38.1" customHeight="1" x14ac:dyDescent="0.3">
      <c r="A110" s="54" t="s">
        <v>371</v>
      </c>
      <c r="B110" s="17" t="s">
        <v>43</v>
      </c>
      <c r="C110" s="19" t="s">
        <v>186</v>
      </c>
      <c r="D110" s="16" t="s">
        <v>320</v>
      </c>
      <c r="E110" s="16" t="s">
        <v>44</v>
      </c>
      <c r="F110" s="129">
        <f>ВСР!G97</f>
        <v>3</v>
      </c>
      <c r="G110" s="129" t="str">
        <f>ВСР!H97</f>
        <v>3,2</v>
      </c>
      <c r="H110" s="129">
        <f>ВСР!I97</f>
        <v>3.3</v>
      </c>
    </row>
    <row r="111" spans="1:8" ht="19.5" customHeight="1" x14ac:dyDescent="0.3">
      <c r="A111" s="200" t="s">
        <v>150</v>
      </c>
      <c r="B111" s="201" t="s">
        <v>105</v>
      </c>
      <c r="C111" s="202" t="s">
        <v>189</v>
      </c>
      <c r="D111" s="210"/>
      <c r="E111" s="202"/>
      <c r="F111" s="211">
        <f>ВСР!G98</f>
        <v>4662.0999999999995</v>
      </c>
      <c r="G111" s="211">
        <f>ВСР!H98</f>
        <v>2170.6999999999998</v>
      </c>
      <c r="H111" s="211">
        <f>ВСР!I98</f>
        <v>2257.5699999999997</v>
      </c>
    </row>
    <row r="112" spans="1:8" ht="21.95" customHeight="1" x14ac:dyDescent="0.3">
      <c r="A112" s="54" t="s">
        <v>190</v>
      </c>
      <c r="B112" s="17" t="s">
        <v>107</v>
      </c>
      <c r="C112" s="16" t="s">
        <v>151</v>
      </c>
      <c r="D112" s="38"/>
      <c r="E112" s="16"/>
      <c r="F112" s="129">
        <f>ВСР!G99</f>
        <v>4662.0999999999995</v>
      </c>
      <c r="G112" s="129">
        <f>ВСР!H99</f>
        <v>2170.6999999999998</v>
      </c>
      <c r="H112" s="129">
        <f>ВСР!I99</f>
        <v>2257.5699999999997</v>
      </c>
    </row>
    <row r="113" spans="1:8" ht="66" customHeight="1" x14ac:dyDescent="0.3">
      <c r="A113" s="54" t="s">
        <v>191</v>
      </c>
      <c r="B113" s="238" t="s">
        <v>550</v>
      </c>
      <c r="C113" s="16" t="s">
        <v>192</v>
      </c>
      <c r="D113" s="16" t="str">
        <f>[2]ВСР!E98</f>
        <v>45011 00200</v>
      </c>
      <c r="E113" s="16"/>
      <c r="F113" s="129">
        <f>ВСР!G100</f>
        <v>2949.2</v>
      </c>
      <c r="G113" s="129">
        <f t="shared" ref="G113:H113" si="39">G114</f>
        <v>811.2</v>
      </c>
      <c r="H113" s="129">
        <f t="shared" si="39"/>
        <v>843.7</v>
      </c>
    </row>
    <row r="114" spans="1:8" ht="37.5" x14ac:dyDescent="0.3">
      <c r="A114" s="54" t="s">
        <v>262</v>
      </c>
      <c r="B114" s="17" t="s">
        <v>43</v>
      </c>
      <c r="C114" s="16" t="s">
        <v>193</v>
      </c>
      <c r="D114" s="38" t="s">
        <v>110</v>
      </c>
      <c r="E114" s="16" t="s">
        <v>44</v>
      </c>
      <c r="F114" s="129">
        <f>ВСР!G101</f>
        <v>2949.2</v>
      </c>
      <c r="G114" s="129">
        <f>ВСР!H101</f>
        <v>811.2</v>
      </c>
      <c r="H114" s="129">
        <f>ВСР!I101</f>
        <v>843.7</v>
      </c>
    </row>
    <row r="115" spans="1:8" ht="72" customHeight="1" x14ac:dyDescent="0.3">
      <c r="A115" s="54" t="s">
        <v>207</v>
      </c>
      <c r="B115" s="247" t="s">
        <v>551</v>
      </c>
      <c r="C115" s="16" t="s">
        <v>192</v>
      </c>
      <c r="D115" s="16" t="s">
        <v>215</v>
      </c>
      <c r="E115" s="16"/>
      <c r="F115" s="129">
        <f>ВСР!G102</f>
        <v>1426.7</v>
      </c>
      <c r="G115" s="129">
        <f t="shared" ref="G115:H115" si="40">G116</f>
        <v>1359.5</v>
      </c>
      <c r="H115" s="129">
        <f t="shared" si="40"/>
        <v>1413.87</v>
      </c>
    </row>
    <row r="116" spans="1:8" ht="40.5" customHeight="1" x14ac:dyDescent="0.3">
      <c r="A116" s="54" t="s">
        <v>263</v>
      </c>
      <c r="B116" s="17" t="s">
        <v>43</v>
      </c>
      <c r="C116" s="16" t="s">
        <v>193</v>
      </c>
      <c r="D116" s="16" t="s">
        <v>215</v>
      </c>
      <c r="E116" s="16" t="s">
        <v>44</v>
      </c>
      <c r="F116" s="129">
        <f>ВСР!G103</f>
        <v>1426.7</v>
      </c>
      <c r="G116" s="129">
        <f>ВСР!H103</f>
        <v>1359.5</v>
      </c>
      <c r="H116" s="129">
        <f>ВСР!I103</f>
        <v>1413.87</v>
      </c>
    </row>
    <row r="117" spans="1:8" ht="52.5" customHeight="1" x14ac:dyDescent="0.3">
      <c r="A117" s="54" t="s">
        <v>313</v>
      </c>
      <c r="B117" s="228" t="s">
        <v>552</v>
      </c>
      <c r="C117" s="16" t="s">
        <v>108</v>
      </c>
      <c r="D117" s="16" t="str">
        <f>[2]ВСР!E101</f>
        <v>45009 00560</v>
      </c>
      <c r="E117" s="16"/>
      <c r="F117" s="129">
        <f>ВСР!G104</f>
        <v>286.2</v>
      </c>
      <c r="G117" s="129" t="str">
        <f t="shared" ref="G117:H117" si="41">G118</f>
        <v>0</v>
      </c>
      <c r="H117" s="129" t="str">
        <f t="shared" si="41"/>
        <v>0</v>
      </c>
    </row>
    <row r="118" spans="1:8" ht="37.5" x14ac:dyDescent="0.3">
      <c r="A118" s="54" t="s">
        <v>314</v>
      </c>
      <c r="B118" s="17" t="s">
        <v>43</v>
      </c>
      <c r="C118" s="16" t="s">
        <v>108</v>
      </c>
      <c r="D118" s="38" t="s">
        <v>111</v>
      </c>
      <c r="E118" s="16" t="s">
        <v>44</v>
      </c>
      <c r="F118" s="129">
        <f>ВСР!G105</f>
        <v>286.2</v>
      </c>
      <c r="G118" s="129" t="str">
        <f>ВСР!H105</f>
        <v>0</v>
      </c>
      <c r="H118" s="129" t="str">
        <f>ВСР!I105</f>
        <v>0</v>
      </c>
    </row>
    <row r="119" spans="1:8" ht="18.75" x14ac:dyDescent="0.3">
      <c r="A119" s="200" t="s">
        <v>194</v>
      </c>
      <c r="B119" s="209" t="s">
        <v>112</v>
      </c>
      <c r="C119" s="202" t="s">
        <v>195</v>
      </c>
      <c r="D119" s="210"/>
      <c r="E119" s="202"/>
      <c r="F119" s="211">
        <f>ВСР!G106</f>
        <v>6940.9</v>
      </c>
      <c r="G119" s="211">
        <f t="shared" ref="G119:H119" si="42">G126+G120</f>
        <v>7182.6</v>
      </c>
      <c r="H119" s="211">
        <f t="shared" si="42"/>
        <v>7434.1999999999989</v>
      </c>
    </row>
    <row r="120" spans="1:8" ht="18.75" x14ac:dyDescent="0.3">
      <c r="A120" s="16" t="s">
        <v>196</v>
      </c>
      <c r="B120" s="17" t="s">
        <v>372</v>
      </c>
      <c r="C120" s="19" t="s">
        <v>151</v>
      </c>
      <c r="D120" s="38"/>
      <c r="E120" s="16"/>
      <c r="F120" s="129">
        <f>ВСР!G107</f>
        <v>1047.9000000000001</v>
      </c>
      <c r="G120" s="129">
        <f t="shared" ref="G120:H124" si="43">G121</f>
        <v>1047.9000000000001</v>
      </c>
      <c r="H120" s="129">
        <f t="shared" si="43"/>
        <v>1047.9000000000001</v>
      </c>
    </row>
    <row r="121" spans="1:8" ht="151.5" customHeight="1" x14ac:dyDescent="0.3">
      <c r="A121" s="54" t="s">
        <v>277</v>
      </c>
      <c r="B121" s="223" t="s">
        <v>451</v>
      </c>
      <c r="C121" s="19" t="s">
        <v>353</v>
      </c>
      <c r="D121" s="16" t="str">
        <f>[2]ВСР!E105</f>
        <v>50581 00230</v>
      </c>
      <c r="E121" s="16"/>
      <c r="F121" s="129">
        <f>ВСР!G108</f>
        <v>1047.9000000000001</v>
      </c>
      <c r="G121" s="129">
        <f t="shared" si="43"/>
        <v>1047.9000000000001</v>
      </c>
      <c r="H121" s="129">
        <f t="shared" si="43"/>
        <v>1047.9000000000001</v>
      </c>
    </row>
    <row r="122" spans="1:8" ht="37.5" x14ac:dyDescent="0.3">
      <c r="A122" s="54" t="s">
        <v>264</v>
      </c>
      <c r="B122" s="17" t="s">
        <v>115</v>
      </c>
      <c r="C122" s="19" t="s">
        <v>353</v>
      </c>
      <c r="D122" s="38" t="s">
        <v>114</v>
      </c>
      <c r="E122" s="16" t="s">
        <v>116</v>
      </c>
      <c r="F122" s="129">
        <f>ВСР!G109</f>
        <v>1047.9000000000001</v>
      </c>
      <c r="G122" s="129">
        <f>ВСР!H109</f>
        <v>1047.9000000000001</v>
      </c>
      <c r="H122" s="129">
        <f>ВСР!I109</f>
        <v>1047.9000000000001</v>
      </c>
    </row>
    <row r="123" spans="1:8" ht="18.75" x14ac:dyDescent="0.3">
      <c r="A123" s="16" t="s">
        <v>196</v>
      </c>
      <c r="B123" s="17" t="s">
        <v>567</v>
      </c>
      <c r="C123" s="19" t="s">
        <v>154</v>
      </c>
      <c r="D123" s="38"/>
      <c r="E123" s="16"/>
      <c r="F123" s="129">
        <f>ВСР!G110</f>
        <v>0</v>
      </c>
      <c r="G123" s="129">
        <f t="shared" si="43"/>
        <v>0</v>
      </c>
      <c r="H123" s="129">
        <f t="shared" si="43"/>
        <v>0</v>
      </c>
    </row>
    <row r="124" spans="1:8" ht="96" customHeight="1" x14ac:dyDescent="0.3">
      <c r="A124" s="54" t="s">
        <v>277</v>
      </c>
      <c r="B124" s="223" t="s">
        <v>572</v>
      </c>
      <c r="C124" s="19" t="s">
        <v>566</v>
      </c>
      <c r="D124" s="16" t="str">
        <f>[2]ВСР!E108</f>
        <v>51100 G0860</v>
      </c>
      <c r="E124" s="16"/>
      <c r="F124" s="129">
        <f>ВСР!G111</f>
        <v>0</v>
      </c>
      <c r="G124" s="129">
        <f t="shared" si="43"/>
        <v>0</v>
      </c>
      <c r="H124" s="129">
        <f t="shared" si="43"/>
        <v>0</v>
      </c>
    </row>
    <row r="125" spans="1:8" ht="37.5" x14ac:dyDescent="0.3">
      <c r="A125" s="54" t="s">
        <v>264</v>
      </c>
      <c r="B125" s="17" t="s">
        <v>115</v>
      </c>
      <c r="C125" s="19" t="s">
        <v>566</v>
      </c>
      <c r="D125" s="38" t="s">
        <v>114</v>
      </c>
      <c r="E125" s="16" t="s">
        <v>116</v>
      </c>
      <c r="F125" s="129">
        <f>ВСР!G112</f>
        <v>0</v>
      </c>
      <c r="G125" s="129">
        <f>ВСР!H112</f>
        <v>0</v>
      </c>
      <c r="H125" s="129">
        <f>ВСР!I112</f>
        <v>0</v>
      </c>
    </row>
    <row r="126" spans="1:8" ht="18.75" x14ac:dyDescent="0.3">
      <c r="A126" s="54" t="s">
        <v>197</v>
      </c>
      <c r="B126" s="17" t="s">
        <v>198</v>
      </c>
      <c r="C126" s="16" t="s">
        <v>157</v>
      </c>
      <c r="D126" s="38"/>
      <c r="E126" s="16"/>
      <c r="F126" s="129">
        <f>ВСР!G113</f>
        <v>5893</v>
      </c>
      <c r="G126" s="129">
        <f>ВСР!H113</f>
        <v>6134.7000000000007</v>
      </c>
      <c r="H126" s="129">
        <f>ВСР!I113</f>
        <v>6386.2999999999993</v>
      </c>
    </row>
    <row r="127" spans="1:8" ht="95.25" customHeight="1" x14ac:dyDescent="0.3">
      <c r="A127" s="54" t="s">
        <v>199</v>
      </c>
      <c r="B127" s="184" t="s">
        <v>118</v>
      </c>
      <c r="C127" s="16" t="s">
        <v>200</v>
      </c>
      <c r="D127" s="16" t="str">
        <f>[2]ВСР!E108</f>
        <v>51100 G0860</v>
      </c>
      <c r="E127" s="146"/>
      <c r="F127" s="129">
        <f>ВСР!G114</f>
        <v>4153.2</v>
      </c>
      <c r="G127" s="129">
        <f t="shared" ref="G127:H127" si="44">G128</f>
        <v>4323.6000000000004</v>
      </c>
      <c r="H127" s="129">
        <f t="shared" si="44"/>
        <v>4500.8999999999996</v>
      </c>
    </row>
    <row r="128" spans="1:8" ht="39.75" customHeight="1" x14ac:dyDescent="0.3">
      <c r="A128" s="54" t="s">
        <v>265</v>
      </c>
      <c r="B128" s="185" t="s">
        <v>115</v>
      </c>
      <c r="C128" s="16" t="s">
        <v>200</v>
      </c>
      <c r="D128" s="38" t="s">
        <v>119</v>
      </c>
      <c r="E128" s="16" t="s">
        <v>116</v>
      </c>
      <c r="F128" s="129">
        <f>ВСР!G115</f>
        <v>4153.2</v>
      </c>
      <c r="G128" s="129">
        <f>ВСР!H115</f>
        <v>4323.6000000000004</v>
      </c>
      <c r="H128" s="129">
        <f>ВСР!I115</f>
        <v>4500.8999999999996</v>
      </c>
    </row>
    <row r="129" spans="1:8" ht="75.75" customHeight="1" x14ac:dyDescent="0.3">
      <c r="A129" s="54" t="s">
        <v>201</v>
      </c>
      <c r="B129" s="17" t="s">
        <v>120</v>
      </c>
      <c r="C129" s="16" t="s">
        <v>200</v>
      </c>
      <c r="D129" s="21" t="str">
        <f>[2]ВСР!E110</f>
        <v>51100 G0870</v>
      </c>
      <c r="E129" s="16"/>
      <c r="F129" s="129">
        <f>ВСР!G116</f>
        <v>1739.8</v>
      </c>
      <c r="G129" s="130">
        <f t="shared" ref="G129:H129" si="45">G130</f>
        <v>1811.1</v>
      </c>
      <c r="H129" s="130">
        <f t="shared" si="45"/>
        <v>1885.4</v>
      </c>
    </row>
    <row r="130" spans="1:8" ht="38.25" customHeight="1" x14ac:dyDescent="0.3">
      <c r="A130" s="54" t="s">
        <v>266</v>
      </c>
      <c r="B130" s="173" t="s">
        <v>115</v>
      </c>
      <c r="C130" s="16" t="s">
        <v>200</v>
      </c>
      <c r="D130" s="38" t="s">
        <v>121</v>
      </c>
      <c r="E130" s="16" t="s">
        <v>116</v>
      </c>
      <c r="F130" s="129">
        <f>ВСР!G117</f>
        <v>1739.8</v>
      </c>
      <c r="G130" s="129">
        <f>ВСР!H117</f>
        <v>1811.1</v>
      </c>
      <c r="H130" s="129">
        <f>ВСР!I117</f>
        <v>1885.4</v>
      </c>
    </row>
    <row r="131" spans="1:8" ht="17.25" customHeight="1" x14ac:dyDescent="0.3">
      <c r="A131" s="200" t="s">
        <v>202</v>
      </c>
      <c r="B131" s="205" t="s">
        <v>148</v>
      </c>
      <c r="C131" s="202" t="s">
        <v>160</v>
      </c>
      <c r="D131" s="206"/>
      <c r="E131" s="207"/>
      <c r="F131" s="211">
        <f>ВСР!G118</f>
        <v>5</v>
      </c>
      <c r="G131" s="208" t="str">
        <f t="shared" ref="G131:H133" si="46">G132</f>
        <v>5,2</v>
      </c>
      <c r="H131" s="208">
        <f t="shared" si="46"/>
        <v>5.5</v>
      </c>
    </row>
    <row r="132" spans="1:8" ht="15.75" customHeight="1" x14ac:dyDescent="0.3">
      <c r="A132" s="54" t="s">
        <v>203</v>
      </c>
      <c r="B132" s="30" t="s">
        <v>149</v>
      </c>
      <c r="C132" s="16" t="s">
        <v>152</v>
      </c>
      <c r="D132" s="39"/>
      <c r="E132" s="16"/>
      <c r="F132" s="129">
        <f>ВСР!G119</f>
        <v>5</v>
      </c>
      <c r="G132" s="130" t="str">
        <f t="shared" si="46"/>
        <v>5,2</v>
      </c>
      <c r="H132" s="130">
        <f t="shared" si="46"/>
        <v>5.5</v>
      </c>
    </row>
    <row r="133" spans="1:8" ht="157.5" customHeight="1" x14ac:dyDescent="0.3">
      <c r="A133" s="54" t="s">
        <v>204</v>
      </c>
      <c r="B133" s="225" t="s">
        <v>568</v>
      </c>
      <c r="C133" s="16" t="s">
        <v>208</v>
      </c>
      <c r="D133" s="39" t="s">
        <v>147</v>
      </c>
      <c r="E133" s="16"/>
      <c r="F133" s="129">
        <f>ВСР!G120</f>
        <v>5</v>
      </c>
      <c r="G133" s="130" t="str">
        <f t="shared" si="46"/>
        <v>5,2</v>
      </c>
      <c r="H133" s="130">
        <f t="shared" si="46"/>
        <v>5.5</v>
      </c>
    </row>
    <row r="134" spans="1:8" ht="45.75" customHeight="1" x14ac:dyDescent="0.3">
      <c r="A134" s="54" t="s">
        <v>267</v>
      </c>
      <c r="B134" s="17" t="s">
        <v>43</v>
      </c>
      <c r="C134" s="16" t="s">
        <v>208</v>
      </c>
      <c r="D134" s="39" t="s">
        <v>147</v>
      </c>
      <c r="E134" s="16" t="s">
        <v>44</v>
      </c>
      <c r="F134" s="129">
        <f>ВСР!G121</f>
        <v>5</v>
      </c>
      <c r="G134" s="129" t="str">
        <f>ВСР!H121</f>
        <v>5,2</v>
      </c>
      <c r="H134" s="129">
        <f>ВСР!I121</f>
        <v>5.5</v>
      </c>
    </row>
    <row r="135" spans="1:8" ht="18.75" x14ac:dyDescent="0.3">
      <c r="A135" s="200" t="s">
        <v>195</v>
      </c>
      <c r="B135" s="201" t="s">
        <v>138</v>
      </c>
      <c r="C135" s="202" t="s">
        <v>168</v>
      </c>
      <c r="D135" s="203"/>
      <c r="E135" s="202"/>
      <c r="F135" s="204">
        <f>ВСР!G146</f>
        <v>120</v>
      </c>
      <c r="G135" s="204">
        <f>ВСР!H146</f>
        <v>0</v>
      </c>
      <c r="H135" s="204">
        <f>ВСР!I146</f>
        <v>0</v>
      </c>
    </row>
    <row r="136" spans="1:8" ht="37.5" x14ac:dyDescent="0.3">
      <c r="A136" s="54" t="s">
        <v>209</v>
      </c>
      <c r="B136" s="149" t="s">
        <v>140</v>
      </c>
      <c r="C136" s="16" t="s">
        <v>152</v>
      </c>
      <c r="D136" s="38"/>
      <c r="E136" s="16"/>
      <c r="F136" s="129">
        <f>ВСР!G147</f>
        <v>120</v>
      </c>
      <c r="G136" s="129">
        <f>ВСР!H147</f>
        <v>0</v>
      </c>
      <c r="H136" s="129">
        <f>ВСР!I147</f>
        <v>0</v>
      </c>
    </row>
    <row r="137" spans="1:8" ht="215.25" customHeight="1" x14ac:dyDescent="0.3">
      <c r="A137" s="54" t="s">
        <v>210</v>
      </c>
      <c r="B137" s="226" t="s">
        <v>142</v>
      </c>
      <c r="C137" s="16" t="s">
        <v>205</v>
      </c>
      <c r="D137" s="16" t="str">
        <f>[2]ВСР!E131</f>
        <v>45701 00250</v>
      </c>
      <c r="E137" s="16"/>
      <c r="F137" s="194">
        <f t="shared" ref="F137:H137" si="47">F138</f>
        <v>120</v>
      </c>
      <c r="G137" s="194">
        <f t="shared" si="47"/>
        <v>0</v>
      </c>
      <c r="H137" s="130">
        <f t="shared" si="47"/>
        <v>0</v>
      </c>
    </row>
    <row r="138" spans="1:8" ht="37.5" x14ac:dyDescent="0.3">
      <c r="A138" s="54" t="s">
        <v>389</v>
      </c>
      <c r="B138" s="17" t="s">
        <v>43</v>
      </c>
      <c r="C138" s="16" t="s">
        <v>205</v>
      </c>
      <c r="D138" s="38" t="s">
        <v>143</v>
      </c>
      <c r="E138" s="16" t="s">
        <v>44</v>
      </c>
      <c r="F138" s="129">
        <f>ВСР!G149</f>
        <v>120</v>
      </c>
      <c r="G138" s="129">
        <f>ВСР!H149</f>
        <v>0</v>
      </c>
      <c r="H138" s="129">
        <f>ВСР!I149</f>
        <v>0</v>
      </c>
    </row>
    <row r="139" spans="1:8" ht="18.75" x14ac:dyDescent="0.3">
      <c r="A139" s="54" t="s">
        <v>436</v>
      </c>
      <c r="B139" s="27" t="s">
        <v>431</v>
      </c>
      <c r="C139" s="20" t="s">
        <v>440</v>
      </c>
      <c r="D139" s="229"/>
      <c r="E139" s="20"/>
      <c r="F139" s="230">
        <f>F140</f>
        <v>129.10000000000002</v>
      </c>
      <c r="G139" s="230" t="str">
        <f t="shared" ref="G139:H139" si="48">G140</f>
        <v>0</v>
      </c>
      <c r="H139" s="230">
        <f t="shared" si="48"/>
        <v>0</v>
      </c>
    </row>
    <row r="140" spans="1:8" ht="18.75" x14ac:dyDescent="0.3">
      <c r="A140" s="54" t="s">
        <v>437</v>
      </c>
      <c r="B140" s="27" t="s">
        <v>431</v>
      </c>
      <c r="C140" s="16" t="s">
        <v>439</v>
      </c>
      <c r="D140" s="16" t="s">
        <v>40</v>
      </c>
      <c r="E140" s="16"/>
      <c r="F140" s="129">
        <f>F141</f>
        <v>129.10000000000002</v>
      </c>
      <c r="G140" s="129" t="str">
        <f t="shared" ref="G140:H140" si="49">G141</f>
        <v>0</v>
      </c>
      <c r="H140" s="129">
        <f t="shared" si="49"/>
        <v>0</v>
      </c>
    </row>
    <row r="141" spans="1:8" ht="37.5" x14ac:dyDescent="0.3">
      <c r="A141" s="54" t="s">
        <v>438</v>
      </c>
      <c r="B141" s="17" t="s">
        <v>530</v>
      </c>
      <c r="C141" s="16" t="s">
        <v>439</v>
      </c>
      <c r="D141" s="176">
        <v>20600030</v>
      </c>
      <c r="E141" s="16" t="s">
        <v>434</v>
      </c>
      <c r="F141" s="129">
        <f>ВСР!G123</f>
        <v>129.10000000000002</v>
      </c>
      <c r="G141" s="129" t="str">
        <f>ВСР!H123</f>
        <v>0</v>
      </c>
      <c r="H141" s="129">
        <f>ВСР!I123</f>
        <v>0</v>
      </c>
    </row>
    <row r="142" spans="1:8" ht="20.25" x14ac:dyDescent="0.3">
      <c r="A142" s="33"/>
      <c r="B142" s="34" t="s">
        <v>144</v>
      </c>
      <c r="C142" s="35"/>
      <c r="D142" s="36"/>
      <c r="E142" s="35"/>
      <c r="F142" s="131">
        <f>F135+F131+F119+F111+F94+F90+F70+F61+F57+F10+F139</f>
        <v>45600.299999999996</v>
      </c>
      <c r="G142" s="131">
        <f>G135+G131+G119+G111+G94+G90+G70+G61+G57+G10+G139</f>
        <v>43398.899999999994</v>
      </c>
      <c r="H142" s="131">
        <f>H135+H131+H119+H111+H94+H90+H70+H61+H57+H10+H139</f>
        <v>41310.07</v>
      </c>
    </row>
    <row r="143" spans="1:8" ht="18.75" hidden="1" x14ac:dyDescent="0.3">
      <c r="A143" s="37"/>
      <c r="G143" s="132"/>
      <c r="H143" s="132"/>
    </row>
    <row r="144" spans="1:8" ht="18.75" hidden="1" x14ac:dyDescent="0.3">
      <c r="F144" s="127">
        <v>52719.9</v>
      </c>
      <c r="G144" s="132"/>
      <c r="H144" s="132"/>
    </row>
    <row r="145" spans="5:20" hidden="1" x14ac:dyDescent="0.2">
      <c r="G145" s="132"/>
      <c r="H145" s="132"/>
    </row>
    <row r="146" spans="5:20" hidden="1" x14ac:dyDescent="0.2">
      <c r="E146" s="109" t="s">
        <v>206</v>
      </c>
      <c r="F146" s="124">
        <f>F142-F144</f>
        <v>-7119.6000000000058</v>
      </c>
      <c r="G146" s="132"/>
      <c r="H146" s="132"/>
    </row>
    <row r="147" spans="5:20" hidden="1" x14ac:dyDescent="0.2">
      <c r="G147" s="132"/>
      <c r="H147" s="132"/>
    </row>
    <row r="148" spans="5:20" hidden="1" x14ac:dyDescent="0.2">
      <c r="G148" s="132"/>
      <c r="H148" s="132"/>
    </row>
    <row r="149" spans="5:20" hidden="1" x14ac:dyDescent="0.2">
      <c r="G149" s="132"/>
      <c r="H149" s="132"/>
    </row>
    <row r="150" spans="5:20" hidden="1" x14ac:dyDescent="0.2">
      <c r="G150" s="132"/>
      <c r="H150" s="132"/>
    </row>
    <row r="151" spans="5:20" hidden="1" x14ac:dyDescent="0.2">
      <c r="G151" s="132"/>
      <c r="H151" s="132"/>
    </row>
    <row r="152" spans="5:20" x14ac:dyDescent="0.2">
      <c r="G152" s="190"/>
      <c r="H152" s="190"/>
    </row>
    <row r="153" spans="5:20" x14ac:dyDescent="0.2">
      <c r="F153" s="124"/>
    </row>
    <row r="155" spans="5:20" ht="22.5" x14ac:dyDescent="0.3">
      <c r="F155" s="128"/>
      <c r="T155" s="41"/>
    </row>
  </sheetData>
  <autoFilter ref="A7:F142"/>
  <mergeCells count="9">
    <mergeCell ref="F4:H4"/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61" fitToHeight="0" orientation="portrait" r:id="rId1"/>
  <headerFooter alignWithMargins="0"/>
  <rowBreaks count="6" manualBreakCount="6">
    <brk id="23" max="7" man="1"/>
    <brk id="44" max="7" man="1"/>
    <brk id="68" max="7" man="1"/>
    <brk id="91" max="7" man="1"/>
    <brk id="106" max="7" man="1"/>
    <brk id="13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="75" zoomScaleNormal="100" zoomScaleSheetLayoutView="75" workbookViewId="0">
      <selection activeCell="G14" sqref="G14"/>
    </sheetView>
  </sheetViews>
  <sheetFormatPr defaultRowHeight="15.75" x14ac:dyDescent="0.25"/>
  <cols>
    <col min="1" max="1" width="44.85546875" style="46" customWidth="1"/>
    <col min="2" max="2" width="35.85546875" style="44" customWidth="1"/>
    <col min="3" max="3" width="18.28515625" style="47" customWidth="1"/>
    <col min="4" max="4" width="16.28515625" style="45" customWidth="1"/>
    <col min="5" max="5" width="19.28515625" style="45" customWidth="1"/>
    <col min="6" max="15" width="9.140625" style="45"/>
  </cols>
  <sheetData>
    <row r="1" spans="1:5" ht="19.5" x14ac:dyDescent="0.35">
      <c r="A1" s="40"/>
      <c r="E1" s="56" t="s">
        <v>356</v>
      </c>
    </row>
    <row r="2" spans="1:5" x14ac:dyDescent="0.25">
      <c r="E2" s="56" t="s">
        <v>16</v>
      </c>
    </row>
    <row r="3" spans="1:5" x14ac:dyDescent="0.25">
      <c r="E3" s="56" t="s">
        <v>15</v>
      </c>
    </row>
    <row r="4" spans="1:5" x14ac:dyDescent="0.25">
      <c r="D4" s="257"/>
      <c r="E4" s="257" t="s">
        <v>584</v>
      </c>
    </row>
    <row r="5" spans="1:5" x14ac:dyDescent="0.25">
      <c r="D5" s="317"/>
      <c r="E5" s="317"/>
    </row>
    <row r="6" spans="1:5" ht="30.75" customHeight="1" x14ac:dyDescent="0.25">
      <c r="A6" s="323" t="s">
        <v>516</v>
      </c>
      <c r="B6" s="324"/>
      <c r="C6" s="324"/>
      <c r="D6" s="324"/>
      <c r="E6" s="324"/>
    </row>
    <row r="7" spans="1:5" x14ac:dyDescent="0.25">
      <c r="E7" s="89" t="s">
        <v>308</v>
      </c>
    </row>
    <row r="8" spans="1:5" ht="47.25" customHeight="1" x14ac:dyDescent="0.25">
      <c r="A8" s="320" t="s">
        <v>218</v>
      </c>
      <c r="B8" s="320" t="s">
        <v>219</v>
      </c>
      <c r="C8" s="318" t="s">
        <v>412</v>
      </c>
      <c r="D8" s="322" t="s">
        <v>307</v>
      </c>
      <c r="E8" s="322"/>
    </row>
    <row r="9" spans="1:5" ht="15.75" customHeight="1" x14ac:dyDescent="0.25">
      <c r="A9" s="321"/>
      <c r="B9" s="321"/>
      <c r="C9" s="319"/>
      <c r="D9" s="49" t="s">
        <v>512</v>
      </c>
      <c r="E9" s="49" t="s">
        <v>513</v>
      </c>
    </row>
    <row r="10" spans="1:5" x14ac:dyDescent="0.25">
      <c r="A10" s="48">
        <v>1</v>
      </c>
      <c r="B10" s="49">
        <v>2</v>
      </c>
      <c r="C10" s="50">
        <v>3</v>
      </c>
      <c r="D10" s="133">
        <v>4</v>
      </c>
      <c r="E10" s="133">
        <v>5</v>
      </c>
    </row>
    <row r="11" spans="1:5" ht="30.75" customHeight="1" x14ac:dyDescent="0.25">
      <c r="A11" s="51" t="s">
        <v>220</v>
      </c>
      <c r="B11" s="52" t="s">
        <v>221</v>
      </c>
      <c r="C11" s="55">
        <f>C22+C12+C17</f>
        <v>-884.9000000000101</v>
      </c>
      <c r="D11" s="55">
        <f>D22+D12+D17</f>
        <v>875.90000000000146</v>
      </c>
      <c r="E11" s="55">
        <f>E22+E12+E17</f>
        <v>-2745.6299999999974</v>
      </c>
    </row>
    <row r="12" spans="1:5" ht="30.75" customHeight="1" x14ac:dyDescent="0.25">
      <c r="A12" s="51" t="s">
        <v>422</v>
      </c>
      <c r="B12" s="221" t="s">
        <v>423</v>
      </c>
      <c r="C12" s="55">
        <f>C15</f>
        <v>-2612.1</v>
      </c>
      <c r="D12" s="55">
        <f>D15-D13</f>
        <v>0</v>
      </c>
      <c r="E12" s="55">
        <f>E15-E13</f>
        <v>0</v>
      </c>
    </row>
    <row r="13" spans="1:5" ht="30.75" customHeight="1" x14ac:dyDescent="0.25">
      <c r="A13" s="51" t="s">
        <v>424</v>
      </c>
      <c r="B13" s="221" t="s">
        <v>444</v>
      </c>
      <c r="C13" s="55">
        <f>C14</f>
        <v>0</v>
      </c>
      <c r="D13" s="55">
        <v>0</v>
      </c>
      <c r="E13" s="55">
        <v>0</v>
      </c>
    </row>
    <row r="14" spans="1:5" ht="81.599999999999994" customHeight="1" x14ac:dyDescent="0.25">
      <c r="A14" s="51" t="s">
        <v>425</v>
      </c>
      <c r="B14" s="221" t="s">
        <v>426</v>
      </c>
      <c r="C14" s="55">
        <v>0</v>
      </c>
      <c r="D14" s="55">
        <v>0</v>
      </c>
      <c r="E14" s="55">
        <v>0</v>
      </c>
    </row>
    <row r="15" spans="1:5" ht="30.75" customHeight="1" x14ac:dyDescent="0.25">
      <c r="A15" s="51" t="s">
        <v>427</v>
      </c>
      <c r="B15" s="221" t="s">
        <v>428</v>
      </c>
      <c r="C15" s="55">
        <f>C16</f>
        <v>-2612.1</v>
      </c>
      <c r="D15" s="55">
        <f>D16</f>
        <v>0</v>
      </c>
      <c r="E15" s="55">
        <f>E16</f>
        <v>0</v>
      </c>
    </row>
    <row r="16" spans="1:5" ht="96.6" customHeight="1" x14ac:dyDescent="0.25">
      <c r="A16" s="51" t="s">
        <v>429</v>
      </c>
      <c r="B16" s="221" t="s">
        <v>445</v>
      </c>
      <c r="C16" s="55">
        <v>-2612.1</v>
      </c>
      <c r="D16" s="55">
        <v>0</v>
      </c>
      <c r="E16" s="55">
        <v>0</v>
      </c>
    </row>
    <row r="17" spans="1:5" ht="30.75" customHeight="1" x14ac:dyDescent="0.25">
      <c r="A17" s="51" t="s">
        <v>522</v>
      </c>
      <c r="B17" s="221" t="s">
        <v>518</v>
      </c>
      <c r="C17" s="55">
        <f>C20+C18</f>
        <v>0</v>
      </c>
      <c r="D17" s="55">
        <f>D20-D18</f>
        <v>0</v>
      </c>
      <c r="E17" s="55">
        <f>E20-E18</f>
        <v>0</v>
      </c>
    </row>
    <row r="18" spans="1:5" ht="30.75" customHeight="1" x14ac:dyDescent="0.25">
      <c r="A18" s="51" t="s">
        <v>525</v>
      </c>
      <c r="B18" s="221" t="s">
        <v>519</v>
      </c>
      <c r="C18" s="55">
        <f>C19</f>
        <v>0</v>
      </c>
      <c r="D18" s="55">
        <v>0</v>
      </c>
      <c r="E18" s="55">
        <v>0</v>
      </c>
    </row>
    <row r="19" spans="1:5" ht="69.75" customHeight="1" x14ac:dyDescent="0.25">
      <c r="A19" s="51" t="s">
        <v>523</v>
      </c>
      <c r="B19" s="221" t="s">
        <v>520</v>
      </c>
      <c r="C19" s="55">
        <v>0</v>
      </c>
      <c r="D19" s="55">
        <v>0</v>
      </c>
      <c r="E19" s="55">
        <v>0</v>
      </c>
    </row>
    <row r="20" spans="1:5" ht="30.75" customHeight="1" x14ac:dyDescent="0.25">
      <c r="A20" s="51" t="s">
        <v>524</v>
      </c>
      <c r="B20" s="221" t="s">
        <v>521</v>
      </c>
      <c r="C20" s="55">
        <f>C21</f>
        <v>0</v>
      </c>
      <c r="D20" s="55">
        <f>D21</f>
        <v>0</v>
      </c>
      <c r="E20" s="55">
        <f>E21</f>
        <v>0</v>
      </c>
    </row>
    <row r="21" spans="1:5" ht="86.25" customHeight="1" x14ac:dyDescent="0.25">
      <c r="A21" s="51" t="s">
        <v>524</v>
      </c>
      <c r="B21" s="221" t="s">
        <v>445</v>
      </c>
      <c r="C21" s="55">
        <v>0</v>
      </c>
      <c r="D21" s="55">
        <v>0</v>
      </c>
      <c r="E21" s="55">
        <v>0</v>
      </c>
    </row>
    <row r="22" spans="1:5" ht="31.5" customHeight="1" x14ac:dyDescent="0.25">
      <c r="A22" s="51" t="s">
        <v>222</v>
      </c>
      <c r="B22" s="53" t="s">
        <v>223</v>
      </c>
      <c r="C22" s="55">
        <f>C23+C28</f>
        <v>1727.1999999999898</v>
      </c>
      <c r="D22" s="55">
        <f t="shared" ref="D22:E22" si="0">D23+D28</f>
        <v>875.90000000000146</v>
      </c>
      <c r="E22" s="55">
        <f t="shared" si="0"/>
        <v>-2745.6299999999974</v>
      </c>
    </row>
    <row r="23" spans="1:5" ht="15" customHeight="1" x14ac:dyDescent="0.25">
      <c r="A23" s="51" t="s">
        <v>224</v>
      </c>
      <c r="B23" s="53" t="s">
        <v>225</v>
      </c>
      <c r="C23" s="55">
        <f>C24</f>
        <v>-46485.2</v>
      </c>
      <c r="D23" s="55">
        <f t="shared" ref="D23:E25" si="1">D24</f>
        <v>-42523</v>
      </c>
      <c r="E23" s="55">
        <f t="shared" si="1"/>
        <v>-44055.7</v>
      </c>
    </row>
    <row r="24" spans="1:5" ht="28.5" customHeight="1" x14ac:dyDescent="0.25">
      <c r="A24" s="51" t="s">
        <v>226</v>
      </c>
      <c r="B24" s="53" t="s">
        <v>227</v>
      </c>
      <c r="C24" s="55">
        <f>C25</f>
        <v>-46485.2</v>
      </c>
      <c r="D24" s="55">
        <f t="shared" si="1"/>
        <v>-42523</v>
      </c>
      <c r="E24" s="55">
        <f t="shared" si="1"/>
        <v>-44055.7</v>
      </c>
    </row>
    <row r="25" spans="1:5" ht="30" customHeight="1" x14ac:dyDescent="0.25">
      <c r="A25" s="51" t="s">
        <v>228</v>
      </c>
      <c r="B25" s="53" t="s">
        <v>229</v>
      </c>
      <c r="C25" s="55">
        <f>C26</f>
        <v>-46485.2</v>
      </c>
      <c r="D25" s="55">
        <f t="shared" si="1"/>
        <v>-42523</v>
      </c>
      <c r="E25" s="55">
        <f t="shared" si="1"/>
        <v>-44055.7</v>
      </c>
    </row>
    <row r="26" spans="1:5" ht="65.25" customHeight="1" x14ac:dyDescent="0.25">
      <c r="A26" s="51" t="s">
        <v>230</v>
      </c>
      <c r="B26" s="53" t="s">
        <v>231</v>
      </c>
      <c r="C26" s="55">
        <f>-Доходы!E49</f>
        <v>-46485.2</v>
      </c>
      <c r="D26" s="55">
        <f>-Доходы!F49-0-0</f>
        <v>-42523</v>
      </c>
      <c r="E26" s="55">
        <f>-Доходы!G49</f>
        <v>-44055.7</v>
      </c>
    </row>
    <row r="27" spans="1:5" ht="14.25" customHeight="1" x14ac:dyDescent="0.25">
      <c r="A27" s="51" t="s">
        <v>279</v>
      </c>
      <c r="B27" s="53" t="s">
        <v>280</v>
      </c>
      <c r="C27" s="55">
        <f>C28</f>
        <v>48212.399999999987</v>
      </c>
      <c r="D27" s="55">
        <f t="shared" ref="D27:E29" si="2">D28</f>
        <v>43398.9</v>
      </c>
      <c r="E27" s="55">
        <f t="shared" si="2"/>
        <v>41310.07</v>
      </c>
    </row>
    <row r="28" spans="1:5" ht="29.25" customHeight="1" x14ac:dyDescent="0.25">
      <c r="A28" s="51" t="s">
        <v>232</v>
      </c>
      <c r="B28" s="53" t="s">
        <v>233</v>
      </c>
      <c r="C28" s="55">
        <f>C29</f>
        <v>48212.399999999987</v>
      </c>
      <c r="D28" s="55">
        <f t="shared" si="2"/>
        <v>43398.9</v>
      </c>
      <c r="E28" s="55">
        <f t="shared" si="2"/>
        <v>41310.07</v>
      </c>
    </row>
    <row r="29" spans="1:5" ht="30.75" customHeight="1" x14ac:dyDescent="0.25">
      <c r="A29" s="51" t="s">
        <v>234</v>
      </c>
      <c r="B29" s="53" t="s">
        <v>235</v>
      </c>
      <c r="C29" s="55">
        <f>C30</f>
        <v>48212.399999999987</v>
      </c>
      <c r="D29" s="55">
        <f t="shared" si="2"/>
        <v>43398.9</v>
      </c>
      <c r="E29" s="55">
        <f t="shared" si="2"/>
        <v>41310.07</v>
      </c>
    </row>
    <row r="30" spans="1:5" ht="63" customHeight="1" x14ac:dyDescent="0.25">
      <c r="A30" s="51" t="s">
        <v>236</v>
      </c>
      <c r="B30" s="53" t="s">
        <v>237</v>
      </c>
      <c r="C30" s="55">
        <f>ВСР!G150+0+2612.1</f>
        <v>48212.399999999987</v>
      </c>
      <c r="D30" s="55">
        <f>ВСР!H150</f>
        <v>43398.9</v>
      </c>
      <c r="E30" s="55">
        <f>ВСР!I150</f>
        <v>41310.07</v>
      </c>
    </row>
  </sheetData>
  <mergeCells count="6">
    <mergeCell ref="D5:E5"/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2022-10-24T07:25:03Z</dcterms:modified>
</cp:coreProperties>
</file>