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2013г к Реш  Измен. Ноябрь (2)" sheetId="6" r:id="rId1"/>
    <sheet name="БЮДЖЕТ Изм. ноябрь Решение №23" sheetId="4" r:id="rId2"/>
  </sheets>
  <externalReferences>
    <externalReference r:id="rId3"/>
    <externalReference r:id="rId4"/>
    <externalReference r:id="rId5"/>
  </externalReferences>
  <definedNames>
    <definedName name="OLE_LINK1" localSheetId="0">'2013г к Реш  Измен. Ноябрь (2)'!$D$54</definedName>
    <definedName name="OLE_LINK1_16">#REF!</definedName>
    <definedName name="Spr_MO">#REF!</definedName>
    <definedName name="Должность">'[1]Форма 2005'!#REF!</definedName>
    <definedName name="Заголовок1">[1]Справочник!$B$1:$B$111</definedName>
    <definedName name="_xlnm.Print_Area" localSheetId="0">'2013г к Реш  Измен. Ноябрь (2)'!$A$1:$E$62</definedName>
    <definedName name="_xlnm.Print_Area" localSheetId="1">'БЮДЖЕТ Изм. ноябрь Решение №23'!$A$1:$L$330</definedName>
    <definedName name="период">[1]Справочник!$D$1:$D$5</definedName>
    <definedName name="районы">[1]Справочник!$C$1:$C$19</definedName>
  </definedNames>
  <calcPr calcId="145621"/>
</workbook>
</file>

<file path=xl/calcChain.xml><?xml version="1.0" encoding="utf-8"?>
<calcChain xmlns="http://schemas.openxmlformats.org/spreadsheetml/2006/main">
  <c r="I62" i="6" l="1"/>
  <c r="H62" i="6"/>
  <c r="G62" i="6"/>
  <c r="F62" i="6"/>
  <c r="J61" i="6"/>
  <c r="J60" i="6"/>
  <c r="K60" i="6" s="1"/>
  <c r="H60" i="6"/>
  <c r="J59" i="6"/>
  <c r="I59" i="6"/>
  <c r="H59" i="6"/>
  <c r="G59" i="6"/>
  <c r="F59" i="6"/>
  <c r="E59" i="6"/>
  <c r="K59" i="6" s="1"/>
  <c r="K58" i="6"/>
  <c r="J58" i="6"/>
  <c r="J57" i="6"/>
  <c r="K57" i="6" s="1"/>
  <c r="K56" i="6"/>
  <c r="J56" i="6"/>
  <c r="I56" i="6"/>
  <c r="I55" i="6" s="1"/>
  <c r="H56" i="6"/>
  <c r="H55" i="6" s="1"/>
  <c r="G56" i="6"/>
  <c r="G55" i="6" s="1"/>
  <c r="G50" i="6" s="1"/>
  <c r="G49" i="6" s="1"/>
  <c r="G48" i="6" s="1"/>
  <c r="F56" i="6"/>
  <c r="E56" i="6"/>
  <c r="E55" i="6" s="1"/>
  <c r="K55" i="6" s="1"/>
  <c r="J55" i="6"/>
  <c r="F55" i="6"/>
  <c r="J54" i="6"/>
  <c r="K54" i="6" s="1"/>
  <c r="K53" i="6"/>
  <c r="J53" i="6"/>
  <c r="J52" i="6"/>
  <c r="I52" i="6"/>
  <c r="I51" i="6" s="1"/>
  <c r="I50" i="6" s="1"/>
  <c r="I49" i="6" s="1"/>
  <c r="I48" i="6" s="1"/>
  <c r="H52" i="6"/>
  <c r="G52" i="6"/>
  <c r="G51" i="6" s="1"/>
  <c r="F52" i="6"/>
  <c r="F51" i="6" s="1"/>
  <c r="F50" i="6" s="1"/>
  <c r="E52" i="6"/>
  <c r="J51" i="6"/>
  <c r="H51" i="6"/>
  <c r="H50" i="6" s="1"/>
  <c r="H49" i="6" s="1"/>
  <c r="H48" i="6" s="1"/>
  <c r="J50" i="6"/>
  <c r="J49" i="6"/>
  <c r="F49" i="6"/>
  <c r="F48" i="6" s="1"/>
  <c r="J48" i="6"/>
  <c r="J47" i="6"/>
  <c r="K47" i="6" s="1"/>
  <c r="J46" i="6"/>
  <c r="K46" i="6" s="1"/>
  <c r="J45" i="6"/>
  <c r="I45" i="6"/>
  <c r="I44" i="6" s="1"/>
  <c r="I40" i="6" s="1"/>
  <c r="H45" i="6"/>
  <c r="H44" i="6" s="1"/>
  <c r="H40" i="6" s="1"/>
  <c r="G45" i="6"/>
  <c r="F45" i="6"/>
  <c r="F44" i="6" s="1"/>
  <c r="E45" i="6"/>
  <c r="K45" i="6" s="1"/>
  <c r="J44" i="6"/>
  <c r="G44" i="6"/>
  <c r="G40" i="6" s="1"/>
  <c r="J43" i="6"/>
  <c r="K43" i="6" s="1"/>
  <c r="E43" i="6"/>
  <c r="J42" i="6"/>
  <c r="E42" i="6"/>
  <c r="J41" i="6"/>
  <c r="K41" i="6" s="1"/>
  <c r="J40" i="6"/>
  <c r="F40" i="6"/>
  <c r="J39" i="6"/>
  <c r="K39" i="6" s="1"/>
  <c r="K38" i="6"/>
  <c r="J38" i="6"/>
  <c r="E38" i="6"/>
  <c r="E37" i="6" s="1"/>
  <c r="K37" i="6" s="1"/>
  <c r="J37" i="6"/>
  <c r="J36" i="6"/>
  <c r="K36" i="6" s="1"/>
  <c r="I36" i="6"/>
  <c r="H36" i="6"/>
  <c r="G36" i="6"/>
  <c r="F36" i="6"/>
  <c r="K35" i="6"/>
  <c r="J35" i="6"/>
  <c r="E35" i="6"/>
  <c r="J34" i="6"/>
  <c r="I34" i="6"/>
  <c r="H34" i="6"/>
  <c r="G34" i="6"/>
  <c r="F34" i="6"/>
  <c r="J33" i="6"/>
  <c r="K33" i="6" s="1"/>
  <c r="K32" i="6"/>
  <c r="J32" i="6"/>
  <c r="I32" i="6"/>
  <c r="I31" i="6" s="1"/>
  <c r="H32" i="6"/>
  <c r="H31" i="6" s="1"/>
  <c r="G32" i="6"/>
  <c r="F32" i="6"/>
  <c r="E32" i="6"/>
  <c r="E31" i="6" s="1"/>
  <c r="K31" i="6" s="1"/>
  <c r="J31" i="6"/>
  <c r="G31" i="6"/>
  <c r="F31" i="6"/>
  <c r="J30" i="6"/>
  <c r="G30" i="6"/>
  <c r="F30" i="6"/>
  <c r="E30" i="6"/>
  <c r="E29" i="6" s="1"/>
  <c r="K29" i="6" s="1"/>
  <c r="J29" i="6"/>
  <c r="I29" i="6"/>
  <c r="H29" i="6"/>
  <c r="H28" i="6" s="1"/>
  <c r="G29" i="6"/>
  <c r="G28" i="6" s="1"/>
  <c r="F29" i="6"/>
  <c r="J28" i="6"/>
  <c r="I28" i="6"/>
  <c r="F28" i="6"/>
  <c r="J27" i="6"/>
  <c r="K27" i="6" s="1"/>
  <c r="K26" i="6"/>
  <c r="J26" i="6"/>
  <c r="I26" i="6"/>
  <c r="H26" i="6"/>
  <c r="G26" i="6"/>
  <c r="G25" i="6" s="1"/>
  <c r="F26" i="6"/>
  <c r="F25" i="6" s="1"/>
  <c r="J25" i="6"/>
  <c r="I25" i="6"/>
  <c r="H25" i="6"/>
  <c r="E25" i="6"/>
  <c r="K25" i="6" s="1"/>
  <c r="K24" i="6"/>
  <c r="J24" i="6"/>
  <c r="J23" i="6"/>
  <c r="K23" i="6" s="1"/>
  <c r="J22" i="6"/>
  <c r="F22" i="6"/>
  <c r="F21" i="6" s="1"/>
  <c r="E22" i="6"/>
  <c r="E21" i="6" s="1"/>
  <c r="K21" i="6" s="1"/>
  <c r="J21" i="6"/>
  <c r="I21" i="6"/>
  <c r="H21" i="6"/>
  <c r="G21" i="6"/>
  <c r="J20" i="6"/>
  <c r="K20" i="6" s="1"/>
  <c r="J19" i="6"/>
  <c r="K19" i="6" s="1"/>
  <c r="H19" i="6"/>
  <c r="H18" i="6" s="1"/>
  <c r="H17" i="6" s="1"/>
  <c r="H16" i="6" s="1"/>
  <c r="H15" i="6" s="1"/>
  <c r="H61" i="6" s="1"/>
  <c r="H63" i="6" s="1"/>
  <c r="G19" i="6"/>
  <c r="G18" i="6" s="1"/>
  <c r="F19" i="6"/>
  <c r="J18" i="6"/>
  <c r="I18" i="6"/>
  <c r="F18" i="6"/>
  <c r="E18" i="6"/>
  <c r="J17" i="6"/>
  <c r="I17" i="6"/>
  <c r="J16" i="6"/>
  <c r="J15" i="6"/>
  <c r="K52" i="6" l="1"/>
  <c r="E51" i="6"/>
  <c r="E17" i="6"/>
  <c r="F17" i="6"/>
  <c r="F16" i="6" s="1"/>
  <c r="F15" i="6" s="1"/>
  <c r="F61" i="6" s="1"/>
  <c r="F63" i="6" s="1"/>
  <c r="G17" i="6"/>
  <c r="G16" i="6" s="1"/>
  <c r="G15" i="6" s="1"/>
  <c r="G61" i="6" s="1"/>
  <c r="G63" i="6" s="1"/>
  <c r="E28" i="6"/>
  <c r="K28" i="6" s="1"/>
  <c r="E34" i="6"/>
  <c r="K34" i="6" s="1"/>
  <c r="K18" i="6"/>
  <c r="I16" i="6"/>
  <c r="I15" i="6" s="1"/>
  <c r="I61" i="6" s="1"/>
  <c r="I63" i="6" s="1"/>
  <c r="K22" i="6"/>
  <c r="K42" i="6"/>
  <c r="K30" i="6"/>
  <c r="E44" i="6"/>
  <c r="K44" i="6" s="1"/>
  <c r="E40" i="6" l="1"/>
  <c r="K40" i="6" s="1"/>
  <c r="K17" i="6"/>
  <c r="E16" i="6"/>
  <c r="K51" i="6"/>
  <c r="E50" i="6"/>
  <c r="H327" i="4"/>
  <c r="H326" i="4"/>
  <c r="H324" i="4"/>
  <c r="H323" i="4" s="1"/>
  <c r="H319" i="4"/>
  <c r="H317" i="4"/>
  <c r="H316" i="4" s="1"/>
  <c r="H315" i="4" s="1"/>
  <c r="H314" i="4"/>
  <c r="H311" i="4"/>
  <c r="H309" i="4"/>
  <c r="H308" i="4" s="1"/>
  <c r="H306" i="4"/>
  <c r="H305" i="4"/>
  <c r="H302" i="4"/>
  <c r="H300" i="4"/>
  <c r="H299" i="4"/>
  <c r="H298" i="4"/>
  <c r="H296" i="4"/>
  <c r="L295" i="4"/>
  <c r="J295" i="4"/>
  <c r="J294" i="4"/>
  <c r="I294" i="4"/>
  <c r="L293" i="4"/>
  <c r="K293" i="4"/>
  <c r="J293" i="4"/>
  <c r="J291" i="4" s="1"/>
  <c r="J290" i="4" s="1"/>
  <c r="J289" i="4" s="1"/>
  <c r="J288" i="4" s="1"/>
  <c r="I293" i="4"/>
  <c r="I291" i="4" s="1"/>
  <c r="H293" i="4"/>
  <c r="L291" i="4"/>
  <c r="L290" i="4" s="1"/>
  <c r="L289" i="4" s="1"/>
  <c r="L288" i="4" s="1"/>
  <c r="K291" i="4"/>
  <c r="K290" i="4" s="1"/>
  <c r="K289" i="4" s="1"/>
  <c r="K288" i="4" s="1"/>
  <c r="H291" i="4"/>
  <c r="I290" i="4"/>
  <c r="I289" i="4" s="1"/>
  <c r="I288" i="4" s="1"/>
  <c r="H290" i="4"/>
  <c r="H289" i="4" s="1"/>
  <c r="H288" i="4" s="1"/>
  <c r="J287" i="4"/>
  <c r="J286" i="4" s="1"/>
  <c r="L286" i="4"/>
  <c r="K286" i="4"/>
  <c r="I286" i="4"/>
  <c r="H286" i="4"/>
  <c r="L283" i="4"/>
  <c r="K283" i="4"/>
  <c r="J283" i="4"/>
  <c r="J281" i="4" s="1"/>
  <c r="J280" i="4" s="1"/>
  <c r="J279" i="4" s="1"/>
  <c r="I283" i="4"/>
  <c r="H283" i="4"/>
  <c r="H282" i="4" s="1"/>
  <c r="L281" i="4"/>
  <c r="L280" i="4" s="1"/>
  <c r="K281" i="4"/>
  <c r="K280" i="4" s="1"/>
  <c r="K279" i="4" s="1"/>
  <c r="H281" i="4"/>
  <c r="H280" i="4"/>
  <c r="J278" i="4"/>
  <c r="H275" i="4"/>
  <c r="J274" i="4"/>
  <c r="I273" i="4"/>
  <c r="L272" i="4"/>
  <c r="K272" i="4"/>
  <c r="J272" i="4"/>
  <c r="I272" i="4"/>
  <c r="H272" i="4"/>
  <c r="L271" i="4"/>
  <c r="L267" i="4" s="1"/>
  <c r="K271" i="4"/>
  <c r="K267" i="4" s="1"/>
  <c r="J271" i="4"/>
  <c r="I271" i="4"/>
  <c r="J268" i="4"/>
  <c r="I268" i="4"/>
  <c r="J267" i="4"/>
  <c r="I267" i="4"/>
  <c r="I261" i="4" s="1"/>
  <c r="I259" i="4" s="1"/>
  <c r="I258" i="4" s="1"/>
  <c r="H267" i="4"/>
  <c r="H266" i="4" s="1"/>
  <c r="H265" i="4"/>
  <c r="K264" i="4"/>
  <c r="K262" i="4" s="1"/>
  <c r="K261" i="4" s="1"/>
  <c r="K259" i="4" s="1"/>
  <c r="K258" i="4" s="1"/>
  <c r="K263" i="4"/>
  <c r="L262" i="4"/>
  <c r="J262" i="4"/>
  <c r="J261" i="4" s="1"/>
  <c r="J259" i="4" s="1"/>
  <c r="J258" i="4" s="1"/>
  <c r="I262" i="4"/>
  <c r="H262" i="4"/>
  <c r="L261" i="4"/>
  <c r="L259" i="4" s="1"/>
  <c r="L258" i="4" s="1"/>
  <c r="H261" i="4"/>
  <c r="H260" i="4" s="1"/>
  <c r="H259" i="4" s="1"/>
  <c r="H258" i="4" s="1"/>
  <c r="H257" i="4" s="1"/>
  <c r="L257" i="4"/>
  <c r="H254" i="4"/>
  <c r="H253" i="4" s="1"/>
  <c r="H252" i="4" s="1"/>
  <c r="H251" i="4" s="1"/>
  <c r="H250" i="4" s="1"/>
  <c r="H249" i="4" s="1"/>
  <c r="H248" i="4"/>
  <c r="H247" i="4"/>
  <c r="H246" i="4" s="1"/>
  <c r="H240" i="4" s="1"/>
  <c r="H239" i="4" s="1"/>
  <c r="H229" i="4" s="1"/>
  <c r="H228" i="4" s="1"/>
  <c r="H244" i="4"/>
  <c r="H241" i="4"/>
  <c r="L238" i="4"/>
  <c r="L237" i="4"/>
  <c r="K237" i="4"/>
  <c r="K236" i="4" s="1"/>
  <c r="K235" i="4" s="1"/>
  <c r="J237" i="4"/>
  <c r="I237" i="4"/>
  <c r="H237" i="4"/>
  <c r="L236" i="4"/>
  <c r="L235" i="4" s="1"/>
  <c r="J236" i="4"/>
  <c r="I236" i="4"/>
  <c r="I235" i="4" s="1"/>
  <c r="H236" i="4"/>
  <c r="H235" i="4" s="1"/>
  <c r="J235" i="4"/>
  <c r="J230" i="4" s="1"/>
  <c r="J229" i="4" s="1"/>
  <c r="L234" i="4"/>
  <c r="L233" i="4"/>
  <c r="K233" i="4"/>
  <c r="K232" i="4" s="1"/>
  <c r="K231" i="4" s="1"/>
  <c r="J233" i="4"/>
  <c r="I233" i="4"/>
  <c r="H233" i="4"/>
  <c r="L232" i="4"/>
  <c r="J232" i="4"/>
  <c r="I232" i="4"/>
  <c r="H232" i="4"/>
  <c r="H231" i="4" s="1"/>
  <c r="H230" i="4" s="1"/>
  <c r="J231" i="4"/>
  <c r="K230" i="4"/>
  <c r="K229" i="4" s="1"/>
  <c r="L228" i="4"/>
  <c r="K228" i="4"/>
  <c r="J228" i="4"/>
  <c r="I228" i="4"/>
  <c r="K227" i="4"/>
  <c r="J227" i="4"/>
  <c r="I227" i="4"/>
  <c r="I224" i="4" s="1"/>
  <c r="I222" i="4" s="1"/>
  <c r="I221" i="4" s="1"/>
  <c r="I220" i="4" s="1"/>
  <c r="K226" i="4"/>
  <c r="J226" i="4"/>
  <c r="I226" i="4"/>
  <c r="L225" i="4"/>
  <c r="L224" i="4" s="1"/>
  <c r="L222" i="4" s="1"/>
  <c r="L221" i="4" s="1"/>
  <c r="L220" i="4" s="1"/>
  <c r="K225" i="4"/>
  <c r="K224" i="4" s="1"/>
  <c r="K222" i="4" s="1"/>
  <c r="J225" i="4"/>
  <c r="I225" i="4"/>
  <c r="H225" i="4"/>
  <c r="J224" i="4"/>
  <c r="H223" i="4"/>
  <c r="H222" i="4" s="1"/>
  <c r="H221" i="4" s="1"/>
  <c r="H220" i="4" s="1"/>
  <c r="J222" i="4"/>
  <c r="K221" i="4"/>
  <c r="K220" i="4" s="1"/>
  <c r="J221" i="4"/>
  <c r="J220" i="4" s="1"/>
  <c r="H218" i="4"/>
  <c r="H215" i="4"/>
  <c r="H213" i="4"/>
  <c r="H212" i="4"/>
  <c r="H211" i="4"/>
  <c r="H209" i="4"/>
  <c r="H208" i="4" s="1"/>
  <c r="H207" i="4"/>
  <c r="H206" i="4"/>
  <c r="L205" i="4"/>
  <c r="K205" i="4"/>
  <c r="J205" i="4"/>
  <c r="I205" i="4"/>
  <c r="H202" i="4"/>
  <c r="J201" i="4"/>
  <c r="I201" i="4"/>
  <c r="L200" i="4"/>
  <c r="K200" i="4"/>
  <c r="J200" i="4"/>
  <c r="J197" i="4" s="1"/>
  <c r="I200" i="4"/>
  <c r="H200" i="4"/>
  <c r="L198" i="4"/>
  <c r="K198" i="4"/>
  <c r="J198" i="4"/>
  <c r="H198" i="4"/>
  <c r="L197" i="4"/>
  <c r="K197" i="4"/>
  <c r="H197" i="4"/>
  <c r="L196" i="4"/>
  <c r="L195" i="4" s="1"/>
  <c r="L193" i="4" s="1"/>
  <c r="K196" i="4"/>
  <c r="K195" i="4"/>
  <c r="K192" i="4" s="1"/>
  <c r="J195" i="4"/>
  <c r="I195" i="4"/>
  <c r="H195" i="4"/>
  <c r="K193" i="4"/>
  <c r="I193" i="4"/>
  <c r="H193" i="4"/>
  <c r="H192" i="4" s="1"/>
  <c r="I192" i="4"/>
  <c r="J191" i="4"/>
  <c r="L190" i="4"/>
  <c r="K190" i="4"/>
  <c r="K187" i="4" s="1"/>
  <c r="J190" i="4"/>
  <c r="I190" i="4"/>
  <c r="H190" i="4"/>
  <c r="L188" i="4"/>
  <c r="K188" i="4"/>
  <c r="I188" i="4"/>
  <c r="H188" i="4"/>
  <c r="L187" i="4"/>
  <c r="I187" i="4"/>
  <c r="H187" i="4"/>
  <c r="K186" i="4"/>
  <c r="J186" i="4"/>
  <c r="L185" i="4"/>
  <c r="K185" i="4"/>
  <c r="K184" i="4" s="1"/>
  <c r="K182" i="4" s="1"/>
  <c r="J185" i="4"/>
  <c r="I185" i="4"/>
  <c r="H185" i="4"/>
  <c r="L184" i="4"/>
  <c r="L182" i="4" s="1"/>
  <c r="J184" i="4"/>
  <c r="I184" i="4"/>
  <c r="I182" i="4" s="1"/>
  <c r="H183" i="4"/>
  <c r="H182" i="4" s="1"/>
  <c r="J182" i="4"/>
  <c r="H179" i="4"/>
  <c r="H176" i="4"/>
  <c r="H174" i="4"/>
  <c r="H173" i="4" s="1"/>
  <c r="H171" i="4"/>
  <c r="H169" i="4"/>
  <c r="H168" i="4"/>
  <c r="H166" i="4"/>
  <c r="H164" i="4"/>
  <c r="H162" i="4"/>
  <c r="H161" i="4"/>
  <c r="H153" i="4" s="1"/>
  <c r="J160" i="4"/>
  <c r="L159" i="4"/>
  <c r="K159" i="4"/>
  <c r="J159" i="4"/>
  <c r="J156" i="4" s="1"/>
  <c r="I159" i="4"/>
  <c r="H159" i="4"/>
  <c r="L157" i="4"/>
  <c r="K157" i="4"/>
  <c r="K156" i="4" s="1"/>
  <c r="J157" i="4"/>
  <c r="I157" i="4"/>
  <c r="H157" i="4"/>
  <c r="H156" i="4" s="1"/>
  <c r="L156" i="4"/>
  <c r="L153" i="4" s="1"/>
  <c r="I156" i="4"/>
  <c r="I153" i="4" s="1"/>
  <c r="H154" i="4"/>
  <c r="K153" i="4"/>
  <c r="J153" i="4"/>
  <c r="L151" i="4"/>
  <c r="K151" i="4"/>
  <c r="J151" i="4"/>
  <c r="I151" i="4"/>
  <c r="H151" i="4"/>
  <c r="J150" i="4"/>
  <c r="I150" i="4"/>
  <c r="L149" i="4"/>
  <c r="K149" i="4"/>
  <c r="J149" i="4"/>
  <c r="J147" i="4" s="1"/>
  <c r="J146" i="4" s="1"/>
  <c r="I149" i="4"/>
  <c r="H149" i="4"/>
  <c r="L147" i="4"/>
  <c r="K147" i="4"/>
  <c r="K146" i="4" s="1"/>
  <c r="I147" i="4"/>
  <c r="H147" i="4"/>
  <c r="H146" i="4" s="1"/>
  <c r="L146" i="4"/>
  <c r="I146" i="4"/>
  <c r="H143" i="4"/>
  <c r="H141" i="4"/>
  <c r="H140" i="4"/>
  <c r="L137" i="4"/>
  <c r="L136" i="4" s="1"/>
  <c r="L135" i="4" s="1"/>
  <c r="K137" i="4"/>
  <c r="J137" i="4"/>
  <c r="I137" i="4"/>
  <c r="H137" i="4"/>
  <c r="H136" i="4" s="1"/>
  <c r="H135" i="4" s="1"/>
  <c r="K136" i="4"/>
  <c r="J136" i="4"/>
  <c r="I136" i="4"/>
  <c r="I135" i="4" s="1"/>
  <c r="K135" i="4"/>
  <c r="J135" i="4"/>
  <c r="J134" i="4"/>
  <c r="H132" i="4"/>
  <c r="L130" i="4"/>
  <c r="K130" i="4"/>
  <c r="J130" i="4"/>
  <c r="I130" i="4"/>
  <c r="I129" i="4" s="1"/>
  <c r="I127" i="4" s="1"/>
  <c r="H130" i="4"/>
  <c r="L129" i="4"/>
  <c r="K129" i="4"/>
  <c r="J129" i="4"/>
  <c r="J127" i="4" s="1"/>
  <c r="H128" i="4"/>
  <c r="L127" i="4"/>
  <c r="L126" i="4" s="1"/>
  <c r="K127" i="4"/>
  <c r="H127" i="4"/>
  <c r="I126" i="4"/>
  <c r="H123" i="4"/>
  <c r="H121" i="4"/>
  <c r="H120" i="4" s="1"/>
  <c r="H119" i="4" s="1"/>
  <c r="H118" i="4"/>
  <c r="H117" i="4" s="1"/>
  <c r="L117" i="4"/>
  <c r="K117" i="4"/>
  <c r="J117" i="4"/>
  <c r="I117" i="4"/>
  <c r="I116" i="4"/>
  <c r="I115" i="4"/>
  <c r="L114" i="4"/>
  <c r="L113" i="4" s="1"/>
  <c r="L111" i="4" s="1"/>
  <c r="K114" i="4"/>
  <c r="K113" i="4" s="1"/>
  <c r="K111" i="4" s="1"/>
  <c r="J114" i="4"/>
  <c r="I114" i="4"/>
  <c r="H114" i="4"/>
  <c r="J113" i="4"/>
  <c r="I113" i="4"/>
  <c r="I111" i="4" s="1"/>
  <c r="H112" i="4"/>
  <c r="H111" i="4" s="1"/>
  <c r="H110" i="4" s="1"/>
  <c r="H109" i="4" s="1"/>
  <c r="J111" i="4"/>
  <c r="J109" i="4" s="1"/>
  <c r="K110" i="4"/>
  <c r="J110" i="4"/>
  <c r="K109" i="4"/>
  <c r="H107" i="4"/>
  <c r="L105" i="4"/>
  <c r="K105" i="4"/>
  <c r="J105" i="4"/>
  <c r="I105" i="4"/>
  <c r="I104" i="4" s="1"/>
  <c r="I103" i="4" s="1"/>
  <c r="H105" i="4"/>
  <c r="L104" i="4"/>
  <c r="K104" i="4"/>
  <c r="J104" i="4"/>
  <c r="J103" i="4" s="1"/>
  <c r="H104" i="4"/>
  <c r="L103" i="4"/>
  <c r="K103" i="4"/>
  <c r="H103" i="4"/>
  <c r="H102" i="4"/>
  <c r="H101" i="4" s="1"/>
  <c r="H100" i="4" s="1"/>
  <c r="L101" i="4"/>
  <c r="K101" i="4"/>
  <c r="J101" i="4"/>
  <c r="J99" i="4" s="1"/>
  <c r="J98" i="4" s="1"/>
  <c r="I101" i="4"/>
  <c r="I99" i="4" s="1"/>
  <c r="L99" i="4"/>
  <c r="L98" i="4" s="1"/>
  <c r="K99" i="4"/>
  <c r="K98" i="4" s="1"/>
  <c r="H99" i="4"/>
  <c r="H98" i="4" s="1"/>
  <c r="I98" i="4"/>
  <c r="L96" i="4"/>
  <c r="K96" i="4"/>
  <c r="J96" i="4"/>
  <c r="I96" i="4"/>
  <c r="I95" i="4" s="1"/>
  <c r="H96" i="4"/>
  <c r="L95" i="4"/>
  <c r="K95" i="4"/>
  <c r="K93" i="4" s="1"/>
  <c r="J95" i="4"/>
  <c r="J93" i="4" s="1"/>
  <c r="J92" i="4" s="1"/>
  <c r="H95" i="4"/>
  <c r="H94" i="4"/>
  <c r="L93" i="4"/>
  <c r="I93" i="4"/>
  <c r="I92" i="4" s="1"/>
  <c r="H93" i="4"/>
  <c r="L91" i="4"/>
  <c r="K91" i="4"/>
  <c r="K90" i="4" s="1"/>
  <c r="K88" i="4" s="1"/>
  <c r="K87" i="4" s="1"/>
  <c r="L90" i="4"/>
  <c r="L88" i="4" s="1"/>
  <c r="L87" i="4" s="1"/>
  <c r="J90" i="4"/>
  <c r="I90" i="4"/>
  <c r="I88" i="4" s="1"/>
  <c r="I87" i="4" s="1"/>
  <c r="H89" i="4"/>
  <c r="H88" i="4" s="1"/>
  <c r="H87" i="4" s="1"/>
  <c r="J88" i="4"/>
  <c r="J87" i="4"/>
  <c r="L85" i="4"/>
  <c r="K85" i="4"/>
  <c r="K84" i="4" s="1"/>
  <c r="J85" i="4"/>
  <c r="I85" i="4"/>
  <c r="H85" i="4"/>
  <c r="L84" i="4"/>
  <c r="L82" i="4" s="1"/>
  <c r="J84" i="4"/>
  <c r="I84" i="4"/>
  <c r="I82" i="4" s="1"/>
  <c r="H84" i="4"/>
  <c r="H83" i="4" s="1"/>
  <c r="K82" i="4"/>
  <c r="J82" i="4"/>
  <c r="H81" i="4"/>
  <c r="H79" i="4"/>
  <c r="H78" i="4"/>
  <c r="L77" i="4"/>
  <c r="K77" i="4"/>
  <c r="J77" i="4"/>
  <c r="J75" i="4" s="1"/>
  <c r="I77" i="4"/>
  <c r="I75" i="4" s="1"/>
  <c r="J76" i="4"/>
  <c r="I76" i="4"/>
  <c r="L75" i="4"/>
  <c r="K75" i="4"/>
  <c r="H75" i="4"/>
  <c r="L74" i="4"/>
  <c r="K74" i="4"/>
  <c r="J74" i="4"/>
  <c r="I74" i="4"/>
  <c r="L73" i="4"/>
  <c r="K73" i="4"/>
  <c r="J73" i="4"/>
  <c r="I73" i="4"/>
  <c r="L71" i="4"/>
  <c r="K71" i="4"/>
  <c r="J71" i="4"/>
  <c r="I71" i="4"/>
  <c r="L70" i="4"/>
  <c r="K70" i="4"/>
  <c r="J70" i="4"/>
  <c r="I70" i="4"/>
  <c r="H70" i="4"/>
  <c r="H68" i="4"/>
  <c r="K67" i="4"/>
  <c r="K66" i="4"/>
  <c r="K65" i="4" s="1"/>
  <c r="K64" i="4" s="1"/>
  <c r="L65" i="4"/>
  <c r="L64" i="4" s="1"/>
  <c r="L62" i="4" s="1"/>
  <c r="L54" i="4" s="1"/>
  <c r="J65" i="4"/>
  <c r="I65" i="4"/>
  <c r="I64" i="4" s="1"/>
  <c r="I62" i="4" s="1"/>
  <c r="H65" i="4"/>
  <c r="J64" i="4"/>
  <c r="J62" i="4" s="1"/>
  <c r="H63" i="4"/>
  <c r="K62" i="4"/>
  <c r="H62" i="4"/>
  <c r="H61" i="4"/>
  <c r="L58" i="4"/>
  <c r="K58" i="4"/>
  <c r="J58" i="4"/>
  <c r="I58" i="4"/>
  <c r="I56" i="4" s="1"/>
  <c r="I55" i="4" s="1"/>
  <c r="H58" i="4"/>
  <c r="L56" i="4"/>
  <c r="K56" i="4"/>
  <c r="J56" i="4"/>
  <c r="J55" i="4" s="1"/>
  <c r="J54" i="4" s="1"/>
  <c r="H56" i="4"/>
  <c r="L55" i="4"/>
  <c r="K55" i="4"/>
  <c r="K54" i="4" s="1"/>
  <c r="H55" i="4"/>
  <c r="H54" i="4"/>
  <c r="L50" i="4"/>
  <c r="K50" i="4"/>
  <c r="K48" i="4" s="1"/>
  <c r="K47" i="4" s="1"/>
  <c r="J50" i="4"/>
  <c r="I50" i="4"/>
  <c r="H49" i="4"/>
  <c r="L48" i="4"/>
  <c r="L47" i="4" s="1"/>
  <c r="J48" i="4"/>
  <c r="I48" i="4"/>
  <c r="H48" i="4"/>
  <c r="H47" i="4" s="1"/>
  <c r="J47" i="4"/>
  <c r="I47" i="4"/>
  <c r="H45" i="4"/>
  <c r="H43" i="4"/>
  <c r="H42" i="4"/>
  <c r="L41" i="4"/>
  <c r="K41" i="4"/>
  <c r="K39" i="4" s="1"/>
  <c r="J41" i="4"/>
  <c r="J39" i="4" s="1"/>
  <c r="L39" i="4"/>
  <c r="I39" i="4"/>
  <c r="H39" i="4"/>
  <c r="L38" i="4"/>
  <c r="J38" i="4"/>
  <c r="I38" i="4"/>
  <c r="I34" i="4" s="1"/>
  <c r="I28" i="4" s="1"/>
  <c r="I26" i="4" s="1"/>
  <c r="I20" i="4" s="1"/>
  <c r="L37" i="4"/>
  <c r="L34" i="4" s="1"/>
  <c r="L28" i="4" s="1"/>
  <c r="L26" i="4" s="1"/>
  <c r="K37" i="4"/>
  <c r="J37" i="4"/>
  <c r="J34" i="4" s="1"/>
  <c r="J28" i="4" s="1"/>
  <c r="J26" i="4" s="1"/>
  <c r="J20" i="4" s="1"/>
  <c r="J12" i="4" s="1"/>
  <c r="J11" i="4" s="1"/>
  <c r="L35" i="4"/>
  <c r="K35" i="4"/>
  <c r="J35" i="4"/>
  <c r="I35" i="4"/>
  <c r="K34" i="4"/>
  <c r="H34" i="4"/>
  <c r="H32" i="4"/>
  <c r="L29" i="4"/>
  <c r="K29" i="4"/>
  <c r="J29" i="4"/>
  <c r="I29" i="4"/>
  <c r="H29" i="4"/>
  <c r="H28" i="4"/>
  <c r="H27" i="4"/>
  <c r="H26" i="4"/>
  <c r="H20" i="4" s="1"/>
  <c r="L24" i="4"/>
  <c r="K24" i="4"/>
  <c r="J24" i="4"/>
  <c r="I24" i="4"/>
  <c r="H24" i="4"/>
  <c r="H23" i="4"/>
  <c r="H22" i="4"/>
  <c r="L21" i="4"/>
  <c r="L20" i="4" s="1"/>
  <c r="K21" i="4"/>
  <c r="J21" i="4"/>
  <c r="I21" i="4"/>
  <c r="H21" i="4"/>
  <c r="K19" i="4"/>
  <c r="J19" i="4"/>
  <c r="J16" i="4" s="1"/>
  <c r="K18" i="4"/>
  <c r="K16" i="4" s="1"/>
  <c r="J18" i="4"/>
  <c r="H17" i="4"/>
  <c r="L16" i="4"/>
  <c r="I16" i="4"/>
  <c r="H15" i="4"/>
  <c r="L14" i="4"/>
  <c r="L13" i="4" s="1"/>
  <c r="L12" i="4" s="1"/>
  <c r="L11" i="4" s="1"/>
  <c r="K14" i="4"/>
  <c r="J14" i="4"/>
  <c r="I14" i="4"/>
  <c r="H14" i="4"/>
  <c r="H13" i="4" s="1"/>
  <c r="H12" i="4" s="1"/>
  <c r="H11" i="4" s="1"/>
  <c r="K13" i="4"/>
  <c r="J13" i="4"/>
  <c r="I13" i="4"/>
  <c r="I12" i="4" s="1"/>
  <c r="I11" i="4" s="1"/>
  <c r="E15" i="6" l="1"/>
  <c r="K16" i="6"/>
  <c r="E49" i="6"/>
  <c r="K50" i="6"/>
  <c r="I257" i="4"/>
  <c r="L279" i="4"/>
  <c r="L278" i="4"/>
  <c r="L256" i="4" s="1"/>
  <c r="K257" i="4"/>
  <c r="J257" i="4"/>
  <c r="J256" i="4"/>
  <c r="L110" i="4"/>
  <c r="L109" i="4"/>
  <c r="K28" i="4"/>
  <c r="K26" i="4" s="1"/>
  <c r="K20" i="4" s="1"/>
  <c r="K12" i="4" s="1"/>
  <c r="K11" i="4" s="1"/>
  <c r="J53" i="4"/>
  <c r="I54" i="4"/>
  <c r="I53" i="4" s="1"/>
  <c r="I110" i="4"/>
  <c r="I109" i="4"/>
  <c r="H92" i="4"/>
  <c r="H53" i="4" s="1"/>
  <c r="H52" i="4" s="1"/>
  <c r="H279" i="4"/>
  <c r="H278" i="4"/>
  <c r="H256" i="4" s="1"/>
  <c r="H205" i="4"/>
  <c r="K278" i="4"/>
  <c r="K256" i="4" s="1"/>
  <c r="L92" i="4"/>
  <c r="L53" i="4" s="1"/>
  <c r="K92" i="4"/>
  <c r="K53" i="4" s="1"/>
  <c r="K52" i="4" s="1"/>
  <c r="H125" i="4"/>
  <c r="H124" i="4" s="1"/>
  <c r="J126" i="4"/>
  <c r="J193" i="4"/>
  <c r="J192" i="4"/>
  <c r="I198" i="4"/>
  <c r="I197" i="4"/>
  <c r="I125" i="4" s="1"/>
  <c r="I124" i="4" s="1"/>
  <c r="L231" i="4"/>
  <c r="L230" i="4"/>
  <c r="L229" i="4" s="1"/>
  <c r="I230" i="4"/>
  <c r="I229" i="4" s="1"/>
  <c r="J188" i="4"/>
  <c r="J187" i="4"/>
  <c r="I231" i="4"/>
  <c r="H126" i="4"/>
  <c r="K126" i="4"/>
  <c r="K125" i="4" s="1"/>
  <c r="K124" i="4" s="1"/>
  <c r="L192" i="4"/>
  <c r="L125" i="4" s="1"/>
  <c r="L124" i="4" s="1"/>
  <c r="I281" i="4"/>
  <c r="I280" i="4" s="1"/>
  <c r="K49" i="6" l="1"/>
  <c r="E48" i="6"/>
  <c r="K48" i="6" s="1"/>
  <c r="K15" i="6"/>
  <c r="L52" i="4"/>
  <c r="L329" i="4" s="1"/>
  <c r="H329" i="4"/>
  <c r="H333" i="4" s="1"/>
  <c r="K329" i="4"/>
  <c r="J125" i="4"/>
  <c r="J124" i="4" s="1"/>
  <c r="J52" i="4" s="1"/>
  <c r="J329" i="4" s="1"/>
  <c r="I278" i="4"/>
  <c r="I256" i="4" s="1"/>
  <c r="I279" i="4"/>
  <c r="I52" i="4"/>
  <c r="E61" i="6" l="1"/>
  <c r="I329" i="4"/>
  <c r="E64" i="6" l="1"/>
  <c r="K61" i="6"/>
</calcChain>
</file>

<file path=xl/sharedStrings.xml><?xml version="1.0" encoding="utf-8"?>
<sst xmlns="http://schemas.openxmlformats.org/spreadsheetml/2006/main" count="2157" uniqueCount="648">
  <si>
    <t>Приложение № 2</t>
  </si>
  <si>
    <t>МО Адмиралтейский округ</t>
  </si>
  <si>
    <t>Ведомственная  структура расходов  местного бюджета муниципального образования  муниципальный округ Адмиралтейский округ  на 2013 год ( с изменениями и дополнениями на 01.12.2013 года)</t>
  </si>
  <si>
    <t>№ п.п</t>
  </si>
  <si>
    <t>Наименование</t>
  </si>
  <si>
    <t>Код ГРБС</t>
  </si>
  <si>
    <t>Код раздела и под-раздела</t>
  </si>
  <si>
    <t>Код ЦСР</t>
  </si>
  <si>
    <t>Код ВР</t>
  </si>
  <si>
    <t>Код эконо-мической статьи</t>
  </si>
  <si>
    <t>Сумма (тыс.руб.)</t>
  </si>
  <si>
    <t xml:space="preserve">                   в том числе:</t>
  </si>
  <si>
    <t>3</t>
  </si>
  <si>
    <t>4</t>
  </si>
  <si>
    <t>5</t>
  </si>
  <si>
    <t>6</t>
  </si>
  <si>
    <t>7</t>
  </si>
  <si>
    <t>I.</t>
  </si>
  <si>
    <t xml:space="preserve">МУНИЦИПАЛЬНЫЙ СОВЕТ МУНИЦИПАЛЬНОГО ОБРАЗОВАНИЯ МУНИЦИПАЛЬНЫЙ ОКРУГ АДМИРАЛТЕЙСКИЙ ОКРУГ </t>
  </si>
  <si>
    <t>992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</si>
  <si>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</si>
  <si>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</si>
  <si>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</si>
  <si>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</si>
  <si>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</si>
  <si>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</si>
  <si>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</si>
  <si>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 МО Адмиралтейский округ</t>
  </si>
  <si>
    <t>002 01 01</t>
  </si>
  <si>
    <t>1.1.1.1</t>
  </si>
  <si>
    <t>Расходы на выплаты персоналу органов местного самоуправления</t>
  </si>
  <si>
    <t>120</t>
  </si>
  <si>
    <t>1.1.1.1.1</t>
  </si>
  <si>
    <t>Фонд оплаты труда и страховые взносы</t>
  </si>
  <si>
    <t>121</t>
  </si>
  <si>
    <t>1.1.1.1.1.2</t>
  </si>
  <si>
    <t xml:space="preserve">Оплата труда и начисления на выплаты по оплате труда </t>
  </si>
  <si>
    <t>210</t>
  </si>
  <si>
    <t>1.1.1.1.1.2.1</t>
  </si>
  <si>
    <t>Заработная плата</t>
  </si>
  <si>
    <t>211</t>
  </si>
  <si>
    <t>1.1.1.1.1.2.2</t>
  </si>
  <si>
    <t>Начисления на выплаты по оплате труда</t>
  </si>
  <si>
    <t>213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</si>
  <si>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</si>
  <si>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</si>
  <si>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</si>
  <si>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</si>
  <si>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Компенсация депутатам,  осуществляющим свои полномочия на непостоянной основе</t>
  </si>
  <si>
    <t>002 03 02</t>
  </si>
  <si>
    <t>1.2.1.1</t>
  </si>
  <si>
    <t>Социальные выплаты гражданам, кроме публичных нормативных социальных выплат</t>
  </si>
  <si>
    <t>320</t>
  </si>
  <si>
    <t>1.2.1.1.1</t>
  </si>
  <si>
    <t>Пособия и компенсации гражданам и иные социальные выплаты, кроме публичных нормативных обязательств</t>
  </si>
  <si>
    <t>321</t>
  </si>
  <si>
    <t>Оплата работ, услуг</t>
  </si>
  <si>
    <t>220</t>
  </si>
  <si>
    <t>1.2.1.1.1.1</t>
  </si>
  <si>
    <t>Прочие работы, услуги</t>
  </si>
  <si>
    <t>226</t>
  </si>
  <si>
    <t>1.2.2</t>
  </si>
  <si>
    <t>Аппарат представительного органа муниципального образования</t>
  </si>
  <si>
    <t>002 04 01</t>
  </si>
  <si>
    <t>1.2.2.1</t>
  </si>
  <si>
    <t>1.2.2.1.1</t>
  </si>
  <si>
    <t>1.2.2.1.1.1</t>
  </si>
  <si>
    <t>1.2.2.1.1.1.2</t>
  </si>
  <si>
    <t>1.2.2.1.1.1.3</t>
  </si>
  <si>
    <t>1.2.2.2</t>
  </si>
  <si>
    <t>Иные закупки товаров, работ и услуг для муниципальных нужд</t>
  </si>
  <si>
    <t>240</t>
  </si>
  <si>
    <t>1.2.2.2.1</t>
  </si>
  <si>
    <t>Прочая закупка товаров, работ и услуг для муниципальных нужд</t>
  </si>
  <si>
    <t>244</t>
  </si>
  <si>
    <t>1.2.2.2.1.1</t>
  </si>
  <si>
    <t>1.2.2.2.1.2</t>
  </si>
  <si>
    <t>Услуги связи</t>
  </si>
  <si>
    <t>221</t>
  </si>
  <si>
    <t>1.2.2.2.1.3</t>
  </si>
  <si>
    <t>Коммунальные услуги</t>
  </si>
  <si>
    <t>223</t>
  </si>
  <si>
    <t>1.2.2.2.1.4</t>
  </si>
  <si>
    <t>Работы, услуги по содержанию имущества</t>
  </si>
  <si>
    <t>225</t>
  </si>
  <si>
    <t>1.2.2.2.1.5</t>
  </si>
  <si>
    <t>1.2.2.2.2</t>
  </si>
  <si>
    <t>Поступление нефинансовых активов</t>
  </si>
  <si>
    <t>300</t>
  </si>
  <si>
    <t>1.2.2.2.2.1</t>
  </si>
  <si>
    <t>Увеличение стоимости  основных средств</t>
  </si>
  <si>
    <t>310</t>
  </si>
  <si>
    <t>1.2.2.2.2.2</t>
  </si>
  <si>
    <t>Увеличение стоимости материальных запасов</t>
  </si>
  <si>
    <t>340</t>
  </si>
  <si>
    <t>1.2.2.3</t>
  </si>
  <si>
    <t>Уплата налогов, сборов и иных платежей</t>
  </si>
  <si>
    <t>850</t>
  </si>
  <si>
    <t>1.2.2.3.1</t>
  </si>
  <si>
    <t>Уплата налога на имущество организаций и земельного налога</t>
  </si>
  <si>
    <t>851</t>
  </si>
  <si>
    <t>1.2.2.3.1.1</t>
  </si>
  <si>
    <t>Прочие расходы</t>
  </si>
  <si>
    <t>290</t>
  </si>
  <si>
    <t>1.2.2.3.2</t>
  </si>
  <si>
    <t>Уплата прочих налогов, сборов и иных платежей</t>
  </si>
  <si>
    <t>852</t>
  </si>
  <si>
    <t>1.2.2.3.2.1</t>
  </si>
  <si>
    <t>1.3</t>
  </si>
  <si>
    <t>Другие общегосударственные вопросы</t>
  </si>
  <si>
    <t>0113</t>
  </si>
  <si>
    <t>1.3.1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</si>
  <si>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</si>
  <si>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092  05 01</t>
  </si>
  <si>
    <t>1.3.1.1</t>
  </si>
  <si>
    <t>1.3.1.1.1</t>
  </si>
  <si>
    <t>630</t>
  </si>
  <si>
    <t>II.</t>
  </si>
  <si>
    <t>МЕСТНАЯ АДМИНИСТРАЦИЯ МУНИЦИПЛЬНОГО ОБРАЗОВАНИЯ МУНИЦИПАЛЬНЫЙ ОКРУГ АДМИРАЛТЕЙСКИЙ ОКРУГ</t>
  </si>
  <si>
    <t>903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</si>
  <si>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</si>
  <si>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</si>
  <si>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</si>
  <si>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</si>
  <si>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002 05 01</t>
  </si>
  <si>
    <t>1.1.1.1.</t>
  </si>
  <si>
    <t>1.1.1.1.1.1</t>
  </si>
  <si>
    <t>1.1.1.1.1.1.1</t>
  </si>
  <si>
    <t>1.1.1.1.1.1.1.2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</si>
  <si>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</si>
  <si>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002 06 01</t>
  </si>
  <si>
    <t>1.1.2.1</t>
  </si>
  <si>
    <t>1.1.2.1.1</t>
  </si>
  <si>
    <t>1.1.2.1.1.1</t>
  </si>
  <si>
    <t>1.1.2.1.1.2</t>
  </si>
  <si>
    <t>1.2.1.1.2</t>
  </si>
  <si>
    <t>1.2.1.1.2.1</t>
  </si>
  <si>
    <t>1.1.2.2.1.1</t>
  </si>
  <si>
    <t>1.1.2.2.1.2</t>
  </si>
  <si>
    <t>1.1.2.2.1.3</t>
  </si>
  <si>
    <t>Арендная  плата за пользование имуществом</t>
  </si>
  <si>
    <t xml:space="preserve"> 903</t>
  </si>
  <si>
    <t>224</t>
  </si>
  <si>
    <t>1.1.2.2.1.4</t>
  </si>
  <si>
    <t>1.1.2.2.1.5</t>
  </si>
  <si>
    <t>1.1.2.2.1.2.1</t>
  </si>
  <si>
    <t>1.1.2.2.1.2.2</t>
  </si>
  <si>
    <t>1.2.1.1.3</t>
  </si>
  <si>
    <t>1.2.1.1.3.1</t>
  </si>
  <si>
    <t>1.1.2.3.1.1</t>
  </si>
  <si>
    <t>1.2.1.1.3.2</t>
  </si>
  <si>
    <t>1.1.2.3.2.1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</si>
  <si>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</si>
  <si>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</si>
  <si>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субвенции из фонда компенсаций Санкт-Петербурга</t>
  </si>
  <si>
    <t>598</t>
  </si>
  <si>
    <t>2</t>
  </si>
  <si>
    <t>Резервные фонды</t>
  </si>
  <si>
    <t>0111</t>
  </si>
  <si>
    <t>2.1.</t>
  </si>
  <si>
    <t>Резервный фонд местной администрации</t>
  </si>
  <si>
    <t>070 01 01</t>
  </si>
  <si>
    <t>2.1.1</t>
  </si>
  <si>
    <t>Иные бюджетные ассигнования</t>
  </si>
  <si>
    <t>800</t>
  </si>
  <si>
    <t>2.1.1.1</t>
  </si>
  <si>
    <t>Резервные средства</t>
  </si>
  <si>
    <t xml:space="preserve">070 01 01 </t>
  </si>
  <si>
    <t>870</t>
  </si>
  <si>
    <t>2.1.1.1.</t>
  </si>
  <si>
    <t>3.1.</t>
  </si>
  <si>
    <t>Осуществление  в порядке и формах, установленных законом Санкт-Петербурга, поддержки деятельности граждан, общественных объединений, учавствующих в охране общественного порядка на территории муниципального образования Адмиралтейский округ</t>
  </si>
  <si>
    <t>092 01 01</t>
  </si>
  <si>
    <t>3.1.1.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</si>
  <si>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</si>
  <si>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</si>
  <si>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некоммерческим организациям  (за исключением муниципальных учреждений)</t>
  </si>
  <si>
    <t>3.1.1.1</t>
  </si>
  <si>
    <t>Безвозмездные перечисления организациям</t>
  </si>
  <si>
    <t>810</t>
  </si>
  <si>
    <t>3.1.1.1.1.</t>
  </si>
  <si>
    <t xml:space="preserve">Безвозмездные перечисления организациям, за исключением государственных и муниципальных организаций </t>
  </si>
  <si>
    <t>242</t>
  </si>
  <si>
    <t>3.2</t>
  </si>
  <si>
    <t xml:space="preserve">Муниципальная целевая программа «Противодействие коррупции в органах местного самоуправления МО Адмиралтейский округ» </t>
  </si>
  <si>
    <t>795 07 01</t>
  </si>
  <si>
    <t>3.2.1</t>
  </si>
  <si>
    <t>3.2.1.1</t>
  </si>
  <si>
    <t>3.2.1.1.1</t>
  </si>
  <si>
    <t>3.2.1.1.1.1</t>
  </si>
  <si>
    <t>3.3</t>
  </si>
  <si>
    <t>Формирование и размещение муниципального заказа</t>
  </si>
  <si>
    <t>092 02 01</t>
  </si>
  <si>
    <t>3.3.1</t>
  </si>
  <si>
    <t>3.3.1.1</t>
  </si>
  <si>
    <t>3.3.1.1.1</t>
  </si>
  <si>
    <t>3.4.1.1.1</t>
  </si>
  <si>
    <t>795 08 01</t>
  </si>
  <si>
    <t>3.4.1.1.1.1</t>
  </si>
  <si>
    <t>НАЦИОНАЛЬНАЯ БЕЗОПАСНОСТЬ И ПРАВООХРАНИТЕЛЬНАЯ ДЕЯТЕЛЬНОСТЬ</t>
  </si>
  <si>
    <t>0300</t>
  </si>
  <si>
    <t>4.1</t>
  </si>
  <si>
    <t>Защита населения и территорий от  чрезвычайных ситуаций природного и техногенного характера, гражданская оборона</t>
  </si>
  <si>
    <t>0309</t>
  </si>
  <si>
    <t>4.1.1</t>
  </si>
  <si>
    <t>Муниципальная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</si>
  <si>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795 01 01</t>
  </si>
  <si>
    <t>4.1.1.3</t>
  </si>
  <si>
    <t>4.1.1.3.1</t>
  </si>
  <si>
    <t>Увеличение стоимости основных средств</t>
  </si>
  <si>
    <t>4.1.1.3.2</t>
  </si>
  <si>
    <t>НАЦИОНАЛЬНАЯ ЭКОНОМИКА</t>
  </si>
  <si>
    <t>0400</t>
  </si>
  <si>
    <t>5.1</t>
  </si>
  <si>
    <t>Общеэкономические вопросы</t>
  </si>
  <si>
    <t>0401</t>
  </si>
  <si>
    <t>5.1.1</t>
  </si>
  <si>
    <t xml:space="preserve">Реализация государственной политики занятости населения </t>
  </si>
  <si>
    <t>510 00 00</t>
  </si>
  <si>
    <t>5.1.1.1</t>
  </si>
  <si>
    <t>Участие в организации  и финансировании проведения временного трудоустройства несовершеннолетних в возрасте от 14 до 18 лет в свободное от учебы время</t>
  </si>
  <si>
    <t>510 01 02</t>
  </si>
  <si>
    <t>5.1.1.1.1</t>
  </si>
  <si>
    <t>5.1.1.1.1.1</t>
  </si>
  <si>
    <t>Субсидии юридическим лицам (кроме муниципальных учреждений) и физическим лицам – производителям товаров, работ, услуг</t>
  </si>
  <si>
    <t>510 01 01</t>
  </si>
  <si>
    <t>Жилищно-коммунальное хозяйство</t>
  </si>
  <si>
    <t>0500</t>
  </si>
  <si>
    <t>6.1</t>
  </si>
  <si>
    <t xml:space="preserve">Благоустройство </t>
  </si>
  <si>
    <t>0503</t>
  </si>
  <si>
    <t>600 00 00</t>
  </si>
  <si>
    <t>6.1.1</t>
  </si>
  <si>
    <t>Благоустройство  придомовых территорий и дворовых</t>
  </si>
  <si>
    <t>600 01 00</t>
  </si>
  <si>
    <t>6.1.1.1</t>
  </si>
  <si>
    <t>Установка, содержание и ремонт ограждений газонов</t>
  </si>
  <si>
    <t>600 01 02</t>
  </si>
  <si>
    <t>6.1.1.1.1</t>
  </si>
  <si>
    <t>6.1.1.1.1.1</t>
  </si>
  <si>
    <t>6.1.1.1.1.1.1</t>
  </si>
  <si>
    <t>6.1.1.1.1.1.1.1</t>
  </si>
  <si>
    <t>6.1.1.1.1.1.2</t>
  </si>
  <si>
    <t>6.1.1.1.1.1.2.1</t>
  </si>
  <si>
    <t>6.1.1.1.1.1.2.2</t>
  </si>
  <si>
    <t>6.1.1.3</t>
  </si>
  <si>
    <t>Установка и содержание  малых архитектурных форм, уличной мебели и хозяйственно-бытового оборудования</t>
  </si>
  <si>
    <t>600 01 03</t>
  </si>
  <si>
    <t>6.2.2.1</t>
  </si>
  <si>
    <t>Выполнение функций  органами местного самоуправления</t>
  </si>
  <si>
    <t>500</t>
  </si>
  <si>
    <t>6.2.2.1.1</t>
  </si>
  <si>
    <t>6.2.2.1.1.1</t>
  </si>
  <si>
    <t>6.2.2.1.1.2</t>
  </si>
  <si>
    <t>6.1.1.2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</si>
  <si>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</si>
  <si>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6.1.1.2.1</t>
  </si>
  <si>
    <t>6.1.1.2.1.1</t>
  </si>
  <si>
    <t>6.1.1.2.1.1.1</t>
  </si>
  <si>
    <t>6.1.1.2.1.1.1.1</t>
  </si>
  <si>
    <t>6.1.1.2.1.1.1.2</t>
  </si>
  <si>
    <t>Ликвидация несанкционированных свалок  бытовых отходов, мусора</t>
  </si>
  <si>
    <t>600 02 01</t>
  </si>
  <si>
    <t>6.1.1.3.1</t>
  </si>
  <si>
    <t>6.1.1.3.2</t>
  </si>
  <si>
    <t>6.1.1.3.1.1</t>
  </si>
  <si>
    <t>6.1.1.3.1.1.1</t>
  </si>
  <si>
    <t>6.1.1.3.1.2</t>
  </si>
  <si>
    <t>6.1.1.3.1.2.1</t>
  </si>
  <si>
    <t>Увеличение стоимости материальных запаосв</t>
  </si>
  <si>
    <t>6.1.1.4</t>
  </si>
  <si>
    <t>Озеленение территории муниципального образования</t>
  </si>
  <si>
    <t>600 03 00</t>
  </si>
  <si>
    <t>6.1.1.4.1</t>
  </si>
  <si>
    <t>Озеленение территорий зеленых насаждений внутриквартального озеленения</t>
  </si>
  <si>
    <t>600 03 01</t>
  </si>
  <si>
    <t>6.1.1.4.1.1</t>
  </si>
  <si>
    <t>6.1.1.4.1.1.1</t>
  </si>
  <si>
    <t>6.1.1.4.1.1.1.1</t>
  </si>
  <si>
    <t>6.1.1.4.1.1.1.1.1</t>
  </si>
  <si>
    <t>6.1.1.4.1.1.1.2</t>
  </si>
  <si>
    <t>6.1.1.4.1.1.1.2.1</t>
  </si>
  <si>
    <t>6.1.1.4.2</t>
  </si>
  <si>
    <t>Организация работ по компенсационному озеленению</t>
  </si>
  <si>
    <t>600 03 02</t>
  </si>
  <si>
    <t>6.1.1.4.2.1</t>
  </si>
  <si>
    <t>6.1.1.4.2.1.1</t>
  </si>
  <si>
    <t>6.1.1.4.2.1.1.1</t>
  </si>
  <si>
    <t>6.1.1.4.2.1.2</t>
  </si>
  <si>
    <t>6.1.1.4.2.1.2.1</t>
  </si>
  <si>
    <t>6.1.1.4.3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</si>
  <si>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</si>
  <si>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600 03 03</t>
  </si>
  <si>
    <t>6.1.1.4.3.1.</t>
  </si>
  <si>
    <t>6.1.1.4.3.1.1</t>
  </si>
  <si>
    <t>6.1.1.4.3.1.1.1</t>
  </si>
  <si>
    <t>6.1.1.5</t>
  </si>
  <si>
    <t>Обустройство, содержание  и уборка территории детских площадок</t>
  </si>
  <si>
    <t>600 04 01</t>
  </si>
  <si>
    <t>6.1.1.5.1</t>
  </si>
  <si>
    <t>6.1.1.5.1.1</t>
  </si>
  <si>
    <t>6.1.1.5.1.1.1</t>
  </si>
  <si>
    <t>6.1.1.5.1.1.1.1</t>
  </si>
  <si>
    <t>6.1.1.5.1.1.1.2</t>
  </si>
  <si>
    <t>6.1.1.5.1.1.2</t>
  </si>
  <si>
    <t>6.1.1.5.1.1.2.1</t>
  </si>
  <si>
    <t>6.1.1.5.1.1.2.2</t>
  </si>
  <si>
    <t>6.1.1.6</t>
  </si>
  <si>
    <t>Текущий ремонт  придомовых территорий и дворовых территорий, включая проезды и въезды, пешеходные дорожки</t>
  </si>
  <si>
    <t>600 05 01</t>
  </si>
  <si>
    <t>6.1.1.6.1</t>
  </si>
  <si>
    <t>6.1.1.6.1.1</t>
  </si>
  <si>
    <t>6.1.1.6.1.1.1</t>
  </si>
  <si>
    <t>6.1.1.6.1.1.1.1</t>
  </si>
  <si>
    <t>6.1.1.7</t>
  </si>
  <si>
    <t xml:space="preserve">Выполнение работ, услуг по техническому надзору </t>
  </si>
  <si>
    <t>600 07 01</t>
  </si>
  <si>
    <t>6.1.1.7.1</t>
  </si>
  <si>
    <t>6.1.1.7.1.1.1</t>
  </si>
  <si>
    <t>6.1.1.7.1.1.1.1</t>
  </si>
  <si>
    <t>6.1.1.8</t>
  </si>
  <si>
    <t>Выполнение работ, услуг по определению объема работ по благоустройству к адресной программе</t>
  </si>
  <si>
    <t>600 08 01</t>
  </si>
  <si>
    <t>6.1.1.8.1</t>
  </si>
  <si>
    <t>6.1.1.8.1.1</t>
  </si>
  <si>
    <t>6.1.1.8.1.1.1</t>
  </si>
  <si>
    <t>6.1.1.9</t>
  </si>
  <si>
    <t>Выполнение оформления к праздничным мероприятиям на территории муниципального образования</t>
  </si>
  <si>
    <t>600 09 01</t>
  </si>
  <si>
    <t>6.1.1.9.1</t>
  </si>
  <si>
    <t>6.1.1.9.1.1</t>
  </si>
  <si>
    <t>6.1.1.9.1.1.1</t>
  </si>
  <si>
    <t>6.1.1.9.1.1.1.1</t>
  </si>
  <si>
    <t>6.1.1.9.1.1.2</t>
  </si>
  <si>
    <t>6.1.1.9.1.1.2.1</t>
  </si>
  <si>
    <t>6.1.1.9.1.1.2.2</t>
  </si>
  <si>
    <t>ОБРАЗОВАНИЕ</t>
  </si>
  <si>
    <t>0700</t>
  </si>
  <si>
    <t>7.1</t>
  </si>
  <si>
    <t xml:space="preserve">Профессиональная подготовка, переподготовка и повышение квалификации
</t>
  </si>
  <si>
    <t>0705</t>
  </si>
  <si>
    <t>7.1.1</t>
  </si>
  <si>
    <t>Переподготовка, повышение квалификации</t>
  </si>
  <si>
    <t>428 00 00</t>
  </si>
  <si>
    <t>7.1.1.1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</si>
  <si>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</si>
  <si>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</si>
  <si>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7.1.1.1.1</t>
  </si>
  <si>
    <t>7.1.1.1.1.1</t>
  </si>
  <si>
    <t>7.2.1</t>
  </si>
  <si>
    <t>Другие вопросы в области образования</t>
  </si>
  <si>
    <t>0709</t>
  </si>
  <si>
    <t>7.2.3</t>
  </si>
  <si>
    <t xml:space="preserve">Муниципальная целевая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</si>
  <si>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795 14 01</t>
  </si>
  <si>
    <t>7.2.3.1</t>
  </si>
  <si>
    <t>7.2.3.1.1</t>
  </si>
  <si>
    <t>7.2.3.1.1.1</t>
  </si>
  <si>
    <t>7.2.3.1.1.1.1</t>
  </si>
  <si>
    <t>7.2.3.1.1.2</t>
  </si>
  <si>
    <t>7.2.3.1.1.3</t>
  </si>
  <si>
    <t>7.2.3.1.1.3.1</t>
  </si>
  <si>
    <t>8</t>
  </si>
  <si>
    <t>КУЛЬТУРА, КИНЕМАТОГРАФИЯ</t>
  </si>
  <si>
    <t>0800</t>
  </si>
  <si>
    <t>8.1</t>
  </si>
  <si>
    <t>Культура</t>
  </si>
  <si>
    <t>0801</t>
  </si>
  <si>
    <t>8.1.2</t>
  </si>
  <si>
    <t>Муниципальная целевая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</si>
  <si>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</si>
  <si>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795 11 01</t>
  </si>
  <si>
    <t>8.1.2.1</t>
  </si>
  <si>
    <t>8.1.2.1.1</t>
  </si>
  <si>
    <t>8.1.2.1.1.3</t>
  </si>
  <si>
    <t>8.1.2.1.2</t>
  </si>
  <si>
    <t>9</t>
  </si>
  <si>
    <t>Социальная политика</t>
  </si>
  <si>
    <t>1000</t>
  </si>
  <si>
    <t>9.1</t>
  </si>
  <si>
    <t>Охрана семьи и детства</t>
  </si>
  <si>
    <t>1004</t>
  </si>
  <si>
    <t>9.1.2</t>
  </si>
  <si>
    <t>Содержание ребенка в семье опекуна и приемной семье, а также вознаграждение, причитающиеся приемному родителю</t>
  </si>
  <si>
    <t>520 13 00</t>
  </si>
  <si>
    <t>9.1.2.1</t>
  </si>
  <si>
    <t>Содержание ребенка в семье опекуна и приемной семье</t>
  </si>
  <si>
    <t>520 13 01</t>
  </si>
  <si>
    <t>9.1.2.1.1</t>
  </si>
  <si>
    <t>9.1.2.1.1.1.1</t>
  </si>
  <si>
    <t>Социальное обеспечение</t>
  </si>
  <si>
    <t>260</t>
  </si>
  <si>
    <t>Пособия по социальной помощи населению</t>
  </si>
  <si>
    <t>9.1.2.1.2</t>
  </si>
  <si>
    <t>Вознаграждение, причитающееся приемному родителю</t>
  </si>
  <si>
    <t>520 13 02</t>
  </si>
  <si>
    <t>9.1.2.1.2.1</t>
  </si>
  <si>
    <t>9.1.2.1.2.1.1</t>
  </si>
  <si>
    <t>9.1.3</t>
  </si>
  <si>
    <t>Организация и осуществление деятельности по опеке и попечительству</t>
  </si>
  <si>
    <t>002 06 02</t>
  </si>
  <si>
    <t>9.1.3.1</t>
  </si>
  <si>
    <t>9.1.3.1.1</t>
  </si>
  <si>
    <t>9.1.3.1.2</t>
  </si>
  <si>
    <t>9.1.3.1.2.1</t>
  </si>
  <si>
    <t>9.1.3.1.3</t>
  </si>
  <si>
    <t>9.1.3.1.3.1</t>
  </si>
  <si>
    <t>9.1.3.1.3.2</t>
  </si>
  <si>
    <t>10</t>
  </si>
  <si>
    <t>Средства массовой информации</t>
  </si>
  <si>
    <t>1200</t>
  </si>
  <si>
    <t>10.1</t>
  </si>
  <si>
    <t>Периодическая печать и издательства</t>
  </si>
  <si>
    <t>1202</t>
  </si>
  <si>
    <t>10.1.1</t>
  </si>
  <si>
    <t>Газета муниципального образования МО Адмиралтейский округ, учрежденная муниципальным советом муниципального образования Адмиралтейский округ</t>
  </si>
  <si>
    <t>457 01 01</t>
  </si>
  <si>
    <t>10.1.1.1</t>
  </si>
  <si>
    <t>10.1.1.1.1</t>
  </si>
  <si>
    <t>10.1.1.1.1.1</t>
  </si>
  <si>
    <t>10.1.1.1.1.1.1</t>
  </si>
  <si>
    <t>III</t>
  </si>
  <si>
    <t>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t>
  </si>
  <si>
    <t>1.1.2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</si>
  <si>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</si>
  <si>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092 99 01</t>
  </si>
  <si>
    <t>Расходы на выплаты персоналу казенных учреждений</t>
  </si>
  <si>
    <t>110</t>
  </si>
  <si>
    <t>111</t>
  </si>
  <si>
    <t>1.1.2.2</t>
  </si>
  <si>
    <t>1.1.2.3</t>
  </si>
  <si>
    <t>1.1.2.2.1</t>
  </si>
  <si>
    <t>1.1.2.2.2</t>
  </si>
  <si>
    <t>Арендная плата за полльзование имуществом</t>
  </si>
  <si>
    <t>1.1.2.2.3</t>
  </si>
  <si>
    <t>1.1.2.4.1</t>
  </si>
  <si>
    <t>1.1.2.4.2</t>
  </si>
  <si>
    <t>1.1.2.4.</t>
  </si>
  <si>
    <t>Охрана окружающей среды</t>
  </si>
  <si>
    <t>0600</t>
  </si>
  <si>
    <t>2.1</t>
  </si>
  <si>
    <t>Другие вопросы  в области охраны окружающей среды</t>
  </si>
  <si>
    <t>0605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</si>
  <si>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</si>
  <si>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795  02 01</t>
  </si>
  <si>
    <t>795 02 01</t>
  </si>
  <si>
    <t>2.1.1.1.1</t>
  </si>
  <si>
    <t>3.1.1.1.1.1</t>
  </si>
  <si>
    <t>3.1.1.1.1.2</t>
  </si>
  <si>
    <t>2.1.1.1.1.3</t>
  </si>
  <si>
    <t>2.1.1.1.1.3.1</t>
  </si>
  <si>
    <t>Образование</t>
  </si>
  <si>
    <t>3.1</t>
  </si>
  <si>
    <t>Молодежная политика и оздоровление детей</t>
  </si>
  <si>
    <t>0707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</si>
  <si>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</si>
  <si>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795 05 01</t>
  </si>
  <si>
    <t>3.1.1.1.</t>
  </si>
  <si>
    <t>3.1.1.1.1</t>
  </si>
  <si>
    <t>4.1.1.1.1.1</t>
  </si>
  <si>
    <t>4.1.1.1.1..1.1</t>
  </si>
  <si>
    <t>4.1.1.1.1.2</t>
  </si>
  <si>
    <t>4.1.1.1.1.3.</t>
  </si>
  <si>
    <t>4.1.1.1.1.3.1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</si>
  <si>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</si>
  <si>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795 06 01</t>
  </si>
  <si>
    <t>4.2.1.1.1.1</t>
  </si>
  <si>
    <t>4.2.1.1.1.1.1</t>
  </si>
  <si>
    <t>4.2.1.1.2</t>
  </si>
  <si>
    <t>3.2.2</t>
  </si>
  <si>
    <t>Муниципальная целевая программа "Организация и проведение досуговых мероприятий для жителей, проживающих на территории муниципального образования муниципальный округ Адмиралтейский округ"</t>
  </si>
  <si>
    <t>795 09 02</t>
  </si>
  <si>
    <t>3.2.2.1</t>
  </si>
  <si>
    <t>3.2.2.1.1</t>
  </si>
  <si>
    <t>3.2.3</t>
  </si>
  <si>
    <t>Муниципальная целевая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</si>
  <si>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795 12 01</t>
  </si>
  <si>
    <t>3.2.3.1</t>
  </si>
  <si>
    <t>3.2.3.1.1</t>
  </si>
  <si>
    <t>4.2.2.1.1</t>
  </si>
  <si>
    <t>4.2.2.1.1.1</t>
  </si>
  <si>
    <t>4.2.2.1.2</t>
  </si>
  <si>
    <t>Другие вопросы в области культуры, кинематографии</t>
  </si>
  <si>
    <t>0804</t>
  </si>
  <si>
    <t xml:space="preserve">Муниципальная целевая программа "Организация мероприятий по сохранению и развитию местных традиций и обрядов" </t>
  </si>
  <si>
    <t>795 10 01</t>
  </si>
  <si>
    <t>4.1.1.1</t>
  </si>
  <si>
    <t>4.1.1.1.1</t>
  </si>
  <si>
    <t>5.1.1.1.1.1.1</t>
  </si>
  <si>
    <t>Транспортные услуги</t>
  </si>
  <si>
    <t>222</t>
  </si>
  <si>
    <t>5.1.1.1.1.1.2</t>
  </si>
  <si>
    <t>5.1.1.1.1.2</t>
  </si>
  <si>
    <t>4.2</t>
  </si>
  <si>
    <t>795 09 01</t>
  </si>
  <si>
    <t>4.2.1</t>
  </si>
  <si>
    <t>4.2.1.1</t>
  </si>
  <si>
    <t>5.2.1.1.1</t>
  </si>
  <si>
    <t>5.2.1.1.1.1</t>
  </si>
  <si>
    <t>5.2.1.1.2</t>
  </si>
  <si>
    <t>ВСЕГО РАСХОДОВ:</t>
  </si>
  <si>
    <t>разница</t>
  </si>
  <si>
    <t>к Решению</t>
  </si>
  <si>
    <t>муниципального совета муниципального образования</t>
  </si>
  <si>
    <t>от 20.11.2013г. № 23</t>
  </si>
  <si>
    <t>Приложение № 1</t>
  </si>
  <si>
    <t xml:space="preserve">ДОХОДЫ   МЕСТНОГО БЮДЖЕТА МУНИЦИПАЛЬНОГО ОБРАЗОВАНИЯ  </t>
  </si>
  <si>
    <r>
      <t xml:space="preserve">МУНИЦИПАЛЬНЫЙ ОКРУГ АДМИРАЛТЕЙСКИЙ ОКРУГ   на   </t>
    </r>
    <r>
      <rPr>
        <b/>
        <sz val="13"/>
        <rFont val="Arial Cyr"/>
        <charset val="204"/>
      </rPr>
      <t xml:space="preserve">2013 </t>
    </r>
    <r>
      <rPr>
        <b/>
        <sz val="12"/>
        <rFont val="Arial Cyr"/>
        <charset val="204"/>
      </rPr>
      <t>год</t>
    </r>
  </si>
  <si>
    <t xml:space="preserve"> (с изменениями и дополнениями на 01.12.2013 г)</t>
  </si>
  <si>
    <t>№ п/п</t>
  </si>
  <si>
    <t>Код адмнистратора</t>
  </si>
  <si>
    <t>код источника доходов</t>
  </si>
  <si>
    <t>Наименование кода дохода  бюджета</t>
  </si>
  <si>
    <t>Сумма тыс.руб.</t>
  </si>
  <si>
    <t>1 квартал</t>
  </si>
  <si>
    <t>2 квартал</t>
  </si>
  <si>
    <t>3 квартал</t>
  </si>
  <si>
    <t>4 квартал</t>
  </si>
  <si>
    <t>РАЗДЕЛ 1. ДОХОДЫ</t>
  </si>
  <si>
    <t>кассовый план</t>
  </si>
  <si>
    <t>ПРОВЕРКА</t>
  </si>
  <si>
    <t>I</t>
  </si>
  <si>
    <t>000</t>
  </si>
  <si>
    <t xml:space="preserve"> 1 00 00000 00 0000 000</t>
  </si>
  <si>
    <t xml:space="preserve"> НАЛОГОВЫЕ И НЕНАЛОГОВЫЕ ДОХОДЫ</t>
  </si>
  <si>
    <t>1.1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</si>
  <si>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</si>
  <si>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</si>
  <si>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</si>
  <si>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</si>
  <si>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</si>
  <si>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</si>
  <si>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</si>
  <si>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</si>
  <si>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</si>
  <si>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</si>
  <si>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</si>
  <si>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</si>
  <si>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</si>
  <si>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1.1.1.1.2.1</t>
  </si>
  <si>
    <t xml:space="preserve"> 1 05 01021 01 0000 110</t>
  </si>
  <si>
    <t>1.1.1.1.2.2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</si>
  <si>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</si>
  <si>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</si>
  <si>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1.1.1.1.3</t>
  </si>
  <si>
    <t>1 05 01050 01 0000 110</t>
  </si>
  <si>
    <t>Минимальный налог,зачисляемый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</si>
  <si>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</si>
  <si>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</si>
  <si>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</si>
  <si>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</si>
  <si>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</si>
  <si>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</si>
  <si>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</si>
  <si>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</si>
  <si>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</si>
  <si>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</si>
  <si>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1 06 01010 03 0000 110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</si>
  <si>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Москвы и Санкт-Петербурга 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</si>
  <si>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</si>
  <si>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</si>
  <si>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1.3.1.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</si>
  <si>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</si>
  <si>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</si>
  <si>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</si>
  <si>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</si>
  <si>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1.4</t>
  </si>
  <si>
    <t>1 13 00000 00 0000 000</t>
  </si>
  <si>
    <t>ДОХОДЫ ОТ ОКАЗАНИЯ ПЛАТНЫХ УСЛУГ (РАБОТ) И КОМПЕНСАЦИИ ЗАТРАТ ГОСУДАРТСВА</t>
  </si>
  <si>
    <t>1.4.1</t>
  </si>
  <si>
    <t xml:space="preserve"> 1 13 01000 00 0000 130 </t>
  </si>
  <si>
    <t>Доходы от оказания платных услуг (работ)</t>
  </si>
  <si>
    <t>1.4.1.1</t>
  </si>
  <si>
    <t xml:space="preserve"> 1 13 01993 03 0000 130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</si>
  <si>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</si>
  <si>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1.4.2</t>
  </si>
  <si>
    <t xml:space="preserve">1 13 02000 00 0000 130 </t>
  </si>
  <si>
    <t>Доходы от компенсации затрат государства</t>
  </si>
  <si>
    <t>1.4.2.1</t>
  </si>
  <si>
    <t xml:space="preserve"> 1 13 02990 00 0000 130 </t>
  </si>
  <si>
    <t xml:space="preserve">Прочие доходы от компенсации затрат государства </t>
  </si>
  <si>
    <t>1.4.2.1.1</t>
  </si>
  <si>
    <t>867</t>
  </si>
  <si>
    <t xml:space="preserve"> 1 13 02993 03 0100 130 </t>
  </si>
  <si>
    <t xml:space="preserve"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</si>
  <si>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1.5</t>
  </si>
  <si>
    <t xml:space="preserve"> 1 16 00000 00 0000 000</t>
  </si>
  <si>
    <t>ШТРАФЫ, САНКЦИИ, ВОЗМЕЩЕНИЕ УЩЕРБА</t>
  </si>
  <si>
    <t>1.5.1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</si>
  <si>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</si>
  <si>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</si>
  <si>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1.5.2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</si>
  <si>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</si>
  <si>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</si>
  <si>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1.5.2.1</t>
  </si>
  <si>
    <t>322</t>
  </si>
  <si>
    <t>1 16 21030 03 0000 140</t>
  </si>
  <si>
    <t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</si>
  <si>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1.5.3</t>
  </si>
  <si>
    <t xml:space="preserve"> 1 16 90000 00 0000 140</t>
  </si>
  <si>
    <t>Прочие поступления от денежных взысканий (штрафов) и иных сумм в возмещение ущерба</t>
  </si>
  <si>
    <t>1.5.3.1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</si>
  <si>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</si>
  <si>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</si>
  <si>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1.5.3.1.2</t>
  </si>
  <si>
    <t>806</t>
  </si>
  <si>
    <t>1 16 90030 03 0100 140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</si>
  <si>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</t>
  </si>
  <si>
    <t>846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</si>
  <si>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</si>
  <si>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</si>
  <si>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1.6</t>
  </si>
  <si>
    <t>2 00 00000 00 0000 000</t>
  </si>
  <si>
    <t>БЕЗВОЗМЕЗДНЫЕ ПОСТУПЛЕНИЯ</t>
  </si>
  <si>
    <t>1.6.1</t>
  </si>
  <si>
    <t>2 02 00000 00 0000 000</t>
  </si>
  <si>
    <t>БЕЗВОЗМЕЗДНЫЕ ПОСТУПЛЕНИЯ ОТ ДРУГИХ БЮДЖЕТОВ БЮДЖЕТНОЙ  СИСТЕМЫ РОССИЙСКОЙ ФЕДЕРАЦИИ</t>
  </si>
  <si>
    <t>1.6.1.1</t>
  </si>
  <si>
    <t>2 02 03000 00 0000 151</t>
  </si>
  <si>
    <t>Субвенции бюджетам субъектов Российской Федерации и муниципальных образований</t>
  </si>
  <si>
    <t>1.6.1.1.2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</si>
  <si>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</si>
  <si>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</si>
  <si>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1.6.1.1.2.1</t>
  </si>
  <si>
    <t>2 02 03 024 03 0000 151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</si>
  <si>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</si>
  <si>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1.6.1.1.2.1.1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</si>
  <si>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</si>
  <si>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</si>
  <si>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1.6.1.1.2.1.2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</si>
  <si>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</si>
  <si>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 составлению протоколов об административных правонарушениях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</si>
  <si>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</si>
  <si>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</si>
  <si>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1.6.1.2.1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</si>
  <si>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</si>
  <si>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</si>
  <si>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1.6.1.2.1.1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</si>
  <si>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</si>
  <si>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</si>
  <si>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1.6.1.2.1.2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</si>
  <si>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</si>
  <si>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</si>
  <si>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1.6.2</t>
  </si>
  <si>
    <t>ПРОЧИЕ БЕЗВОЗМЕЗДНЫЕ ПОСТУПЛЕНИЯ</t>
  </si>
  <si>
    <t>1.6.2.1</t>
  </si>
  <si>
    <t>Прочие безвозмездные поступления в  бюджеты внутригородских муниципальных образований городов федерального значения Москвы и Санкт-Петербурга</t>
  </si>
  <si>
    <t>ИТОГО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</si>
</sst>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u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sz val="14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3"/>
      <name val="Arial Cyr"/>
      <charset val="204"/>
    </font>
    <font>
      <b/>
      <sz val="18"/>
      <name val="Arial Cyr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3"/>
      <name val="Arial Cyr"/>
      <charset val="204"/>
    </font>
    <font>
      <b/>
      <sz val="16"/>
      <name val="Arial Cyr"/>
      <family val="2"/>
      <charset val="204"/>
    </font>
    <font>
      <b/>
      <sz val="11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4" fillId="0" borderId="0"/>
    <xf numFmtId="0" fontId="3" fillId="0" borderId="0"/>
    <xf numFmtId="0" fontId="26" fillId="0" borderId="0"/>
    <xf numFmtId="0" fontId="4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9" fontId="4" fillId="0" borderId="0" applyFont="0" applyFill="0" applyBorder="0" applyAlignment="0" applyProtection="0"/>
    <xf numFmtId="0" fontId="2" fillId="0" borderId="0"/>
    <xf numFmtId="0" fontId="1" fillId="0" borderId="0"/>
  </cellStyleXfs>
  <cellXfs count="267">
    <xf numFmtId="0" fontId="0" fillId="0" borderId="0" xfId="0"/>
    <xf numFmtId="49" fontId="5" fillId="0" borderId="0" xfId="1" applyNumberFormat="1" applyFont="1"/>
    <xf numFmtId="49" fontId="6" fillId="0" borderId="0" xfId="1" applyNumberFormat="1" applyFont="1" applyAlignment="1">
      <alignment wrapText="1"/>
    </xf>
    <xf numFmtId="49" fontId="6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center"/>
    </xf>
    <xf numFmtId="0" fontId="6" fillId="0" borderId="0" xfId="1" applyFont="1"/>
    <xf numFmtId="0" fontId="4" fillId="0" borderId="0" xfId="1"/>
    <xf numFmtId="49" fontId="8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left"/>
    </xf>
    <xf numFmtId="0" fontId="4" fillId="0" borderId="0" xfId="1" applyAlignment="1">
      <alignment horizontal="right"/>
    </xf>
    <xf numFmtId="0" fontId="8" fillId="0" borderId="0" xfId="1" applyFont="1"/>
    <xf numFmtId="49" fontId="10" fillId="0" borderId="0" xfId="1" applyNumberFormat="1" applyFont="1" applyAlignment="1"/>
    <xf numFmtId="49" fontId="11" fillId="0" borderId="0" xfId="1" applyNumberFormat="1" applyFont="1" applyBorder="1" applyAlignment="1">
      <alignment horizontal="left" wrapText="1"/>
    </xf>
    <xf numFmtId="49" fontId="12" fillId="0" borderId="0" xfId="1" applyNumberFormat="1" applyFont="1" applyAlignment="1"/>
    <xf numFmtId="49" fontId="10" fillId="0" borderId="0" xfId="1" applyNumberFormat="1" applyFont="1" applyAlignment="1">
      <alignment horizontal="center" wrapText="1"/>
    </xf>
    <xf numFmtId="0" fontId="13" fillId="0" borderId="0" xfId="1" applyFont="1"/>
    <xf numFmtId="49" fontId="5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 wrapText="1"/>
    </xf>
    <xf numFmtId="0" fontId="8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4" fillId="0" borderId="0" xfId="1" applyFont="1"/>
    <xf numFmtId="49" fontId="8" fillId="0" borderId="1" xfId="1" applyNumberFormat="1" applyFont="1" applyBorder="1" applyAlignment="1">
      <alignment horizontal="center" vertical="center" wrapText="1"/>
    </xf>
    <xf numFmtId="9" fontId="8" fillId="0" borderId="1" xfId="1" applyNumberFormat="1" applyFont="1" applyBorder="1" applyAlignment="1">
      <alignment horizontal="center" vertical="center" wrapText="1"/>
    </xf>
    <xf numFmtId="0" fontId="14" fillId="0" borderId="2" xfId="1" applyFont="1" applyBorder="1"/>
    <xf numFmtId="0" fontId="8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/>
    <xf numFmtId="49" fontId="6" fillId="0" borderId="5" xfId="1" applyNumberFormat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13" fillId="0" borderId="1" xfId="1" applyFont="1" applyBorder="1" applyAlignment="1">
      <alignment horizontal="center"/>
    </xf>
    <xf numFmtId="49" fontId="15" fillId="2" borderId="5" xfId="1" applyNumberFormat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left" wrapText="1"/>
    </xf>
    <xf numFmtId="49" fontId="9" fillId="2" borderId="5" xfId="1" applyNumberFormat="1" applyFont="1" applyFill="1" applyBorder="1" applyAlignment="1">
      <alignment horizontal="center" wrapText="1"/>
    </xf>
    <xf numFmtId="164" fontId="9" fillId="2" borderId="5" xfId="1" applyNumberFormat="1" applyFont="1" applyFill="1" applyBorder="1" applyAlignment="1">
      <alignment horizontal="center" wrapText="1"/>
    </xf>
    <xf numFmtId="164" fontId="10" fillId="3" borderId="5" xfId="1" applyNumberFormat="1" applyFont="1" applyFill="1" applyBorder="1" applyAlignment="1">
      <alignment horizontal="center" wrapText="1"/>
    </xf>
    <xf numFmtId="0" fontId="10" fillId="0" borderId="0" xfId="1" applyFont="1"/>
    <xf numFmtId="49" fontId="9" fillId="2" borderId="5" xfId="1" applyNumberFormat="1" applyFont="1" applyFill="1" applyBorder="1" applyAlignment="1">
      <alignment horizontal="left" wrapText="1"/>
    </xf>
    <xf numFmtId="164" fontId="10" fillId="4" borderId="5" xfId="1" applyNumberFormat="1" applyFont="1" applyFill="1" applyBorder="1" applyAlignment="1">
      <alignment horizontal="center" wrapText="1"/>
    </xf>
    <xf numFmtId="164" fontId="10" fillId="0" borderId="0" xfId="1" applyNumberFormat="1" applyFont="1"/>
    <xf numFmtId="49" fontId="9" fillId="2" borderId="1" xfId="1" applyNumberFormat="1" applyFont="1" applyFill="1" applyBorder="1" applyAlignment="1">
      <alignment horizontal="left" wrapText="1"/>
    </xf>
    <xf numFmtId="164" fontId="9" fillId="2" borderId="1" xfId="1" applyNumberFormat="1" applyFont="1" applyFill="1" applyBorder="1" applyAlignment="1">
      <alignment horizontal="center" wrapText="1"/>
    </xf>
    <xf numFmtId="164" fontId="10" fillId="5" borderId="1" xfId="1" applyNumberFormat="1" applyFont="1" applyFill="1" applyBorder="1" applyAlignment="1">
      <alignment horizontal="center" wrapText="1"/>
    </xf>
    <xf numFmtId="164" fontId="16" fillId="0" borderId="0" xfId="1" applyNumberFormat="1" applyFont="1"/>
    <xf numFmtId="0" fontId="16" fillId="0" borderId="0" xfId="1" applyFont="1"/>
    <xf numFmtId="164" fontId="10" fillId="6" borderId="5" xfId="1" applyNumberFormat="1" applyFont="1" applyFill="1" applyBorder="1" applyAlignment="1">
      <alignment horizontal="center" wrapText="1"/>
    </xf>
    <xf numFmtId="49" fontId="9" fillId="2" borderId="1" xfId="1" applyNumberFormat="1" applyFont="1" applyFill="1" applyBorder="1" applyAlignment="1">
      <alignment wrapText="1"/>
    </xf>
    <xf numFmtId="164" fontId="8" fillId="6" borderId="5" xfId="1" applyNumberFormat="1" applyFont="1" applyFill="1" applyBorder="1" applyAlignment="1">
      <alignment horizontal="center" wrapText="1"/>
    </xf>
    <xf numFmtId="49" fontId="9" fillId="2" borderId="5" xfId="1" applyNumberFormat="1" applyFont="1" applyFill="1" applyBorder="1" applyAlignment="1">
      <alignment wrapText="1"/>
    </xf>
    <xf numFmtId="49" fontId="17" fillId="2" borderId="5" xfId="1" applyNumberFormat="1" applyFont="1" applyFill="1" applyBorder="1" applyAlignment="1">
      <alignment horizontal="left" wrapText="1"/>
    </xf>
    <xf numFmtId="49" fontId="17" fillId="2" borderId="5" xfId="1" applyNumberFormat="1" applyFont="1" applyFill="1" applyBorder="1" applyAlignment="1">
      <alignment horizontal="center" wrapText="1"/>
    </xf>
    <xf numFmtId="164" fontId="17" fillId="2" borderId="5" xfId="1" applyNumberFormat="1" applyFont="1" applyFill="1" applyBorder="1" applyAlignment="1">
      <alignment horizontal="center" wrapText="1"/>
    </xf>
    <xf numFmtId="164" fontId="13" fillId="0" borderId="5" xfId="1" applyNumberFormat="1" applyFont="1" applyFill="1" applyBorder="1" applyAlignment="1">
      <alignment horizontal="center" wrapText="1"/>
    </xf>
    <xf numFmtId="164" fontId="13" fillId="0" borderId="1" xfId="1" applyNumberFormat="1" applyFont="1" applyFill="1" applyBorder="1" applyAlignment="1">
      <alignment horizontal="center" wrapText="1"/>
    </xf>
    <xf numFmtId="49" fontId="9" fillId="2" borderId="1" xfId="1" applyNumberFormat="1" applyFont="1" applyFill="1" applyBorder="1" applyAlignment="1">
      <alignment horizontal="center" wrapText="1"/>
    </xf>
    <xf numFmtId="164" fontId="8" fillId="5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wrapText="1"/>
    </xf>
    <xf numFmtId="49" fontId="17" fillId="2" borderId="1" xfId="1" applyNumberFormat="1" applyFont="1" applyFill="1" applyBorder="1" applyAlignment="1">
      <alignment horizontal="center" wrapText="1"/>
    </xf>
    <xf numFmtId="49" fontId="17" fillId="2" borderId="1" xfId="1" applyNumberFormat="1" applyFont="1" applyFill="1" applyBorder="1" applyAlignment="1">
      <alignment wrapText="1"/>
    </xf>
    <xf numFmtId="164" fontId="17" fillId="2" borderId="1" xfId="1" applyNumberFormat="1" applyFont="1" applyFill="1" applyBorder="1" applyAlignment="1">
      <alignment horizontal="center" wrapText="1"/>
    </xf>
    <xf numFmtId="165" fontId="13" fillId="0" borderId="1" xfId="1" applyNumberFormat="1" applyFont="1" applyBorder="1" applyAlignment="1">
      <alignment horizontal="center"/>
    </xf>
    <xf numFmtId="164" fontId="17" fillId="2" borderId="6" xfId="1" applyNumberFormat="1" applyFont="1" applyFill="1" applyBorder="1" applyAlignment="1">
      <alignment horizontal="center"/>
    </xf>
    <xf numFmtId="0" fontId="18" fillId="0" borderId="0" xfId="1" applyFont="1"/>
    <xf numFmtId="49" fontId="9" fillId="2" borderId="2" xfId="1" applyNumberFormat="1" applyFont="1" applyFill="1" applyBorder="1" applyAlignment="1">
      <alignment wrapText="1"/>
    </xf>
    <xf numFmtId="49" fontId="9" fillId="2" borderId="7" xfId="1" applyNumberFormat="1" applyFont="1" applyFill="1" applyBorder="1" applyAlignment="1">
      <alignment horizontal="center" wrapText="1"/>
    </xf>
    <xf numFmtId="49" fontId="15" fillId="2" borderId="1" xfId="1" applyNumberFormat="1" applyFont="1" applyFill="1" applyBorder="1" applyAlignment="1">
      <alignment horizontal="center" wrapText="1"/>
    </xf>
    <xf numFmtId="0" fontId="9" fillId="2" borderId="2" xfId="1" applyFont="1" applyFill="1" applyBorder="1" applyAlignment="1">
      <alignment wrapText="1"/>
    </xf>
    <xf numFmtId="0" fontId="9" fillId="2" borderId="2" xfId="1" applyFont="1" applyFill="1" applyBorder="1" applyAlignment="1">
      <alignment horizontal="center" wrapText="1"/>
    </xf>
    <xf numFmtId="164" fontId="10" fillId="3" borderId="1" xfId="1" applyNumberFormat="1" applyFont="1" applyFill="1" applyBorder="1" applyAlignment="1">
      <alignment horizontal="center" wrapText="1"/>
    </xf>
    <xf numFmtId="0" fontId="9" fillId="2" borderId="1" xfId="1" applyFont="1" applyFill="1" applyBorder="1" applyAlignment="1">
      <alignment wrapText="1"/>
    </xf>
    <xf numFmtId="0" fontId="19" fillId="0" borderId="0" xfId="1" applyFont="1"/>
    <xf numFmtId="164" fontId="8" fillId="0" borderId="5" xfId="1" applyNumberFormat="1" applyFont="1" applyFill="1" applyBorder="1" applyAlignment="1">
      <alignment horizontal="center" wrapText="1"/>
    </xf>
    <xf numFmtId="0" fontId="14" fillId="0" borderId="0" xfId="1" applyFont="1"/>
    <xf numFmtId="0" fontId="20" fillId="0" borderId="0" xfId="1" applyFont="1"/>
    <xf numFmtId="49" fontId="17" fillId="2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wrapText="1"/>
    </xf>
    <xf numFmtId="165" fontId="13" fillId="0" borderId="5" xfId="1" applyNumberFormat="1" applyFont="1" applyBorder="1" applyAlignment="1">
      <alignment horizontal="center"/>
    </xf>
    <xf numFmtId="165" fontId="8" fillId="0" borderId="5" xfId="1" applyNumberFormat="1" applyFont="1" applyBorder="1" applyAlignment="1">
      <alignment horizontal="center"/>
    </xf>
    <xf numFmtId="49" fontId="9" fillId="2" borderId="7" xfId="1" applyNumberFormat="1" applyFont="1" applyFill="1" applyBorder="1" applyAlignment="1">
      <alignment wrapText="1"/>
    </xf>
    <xf numFmtId="49" fontId="9" fillId="2" borderId="7" xfId="1" applyNumberFormat="1" applyFont="1" applyFill="1" applyBorder="1" applyAlignment="1">
      <alignment horizontal="left" wrapText="1"/>
    </xf>
    <xf numFmtId="164" fontId="8" fillId="4" borderId="5" xfId="1" applyNumberFormat="1" applyFont="1" applyFill="1" applyBorder="1" applyAlignment="1">
      <alignment horizontal="center" wrapText="1"/>
    </xf>
    <xf numFmtId="49" fontId="9" fillId="2" borderId="2" xfId="1" applyNumberFormat="1" applyFont="1" applyFill="1" applyBorder="1" applyAlignment="1">
      <alignment horizontal="left" wrapText="1"/>
    </xf>
    <xf numFmtId="49" fontId="17" fillId="2" borderId="7" xfId="1" applyNumberFormat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justify"/>
    </xf>
    <xf numFmtId="0" fontId="4" fillId="0" borderId="0" xfId="1" applyFont="1" applyFill="1"/>
    <xf numFmtId="165" fontId="13" fillId="0" borderId="5" xfId="1" applyNumberFormat="1" applyFont="1" applyFill="1" applyBorder="1" applyAlignment="1">
      <alignment horizontal="center"/>
    </xf>
    <xf numFmtId="166" fontId="9" fillId="2" borderId="7" xfId="1" applyNumberFormat="1" applyFont="1" applyFill="1" applyBorder="1" applyAlignment="1">
      <alignment horizontal="left" vertical="center" wrapText="1"/>
    </xf>
    <xf numFmtId="49" fontId="9" fillId="2" borderId="8" xfId="1" applyNumberFormat="1" applyFont="1" applyFill="1" applyBorder="1" applyAlignment="1">
      <alignment horizontal="center" wrapText="1"/>
    </xf>
    <xf numFmtId="49" fontId="17" fillId="2" borderId="8" xfId="1" applyNumberFormat="1" applyFont="1" applyFill="1" applyBorder="1" applyAlignment="1">
      <alignment horizontal="center" wrapText="1"/>
    </xf>
    <xf numFmtId="164" fontId="8" fillId="5" borderId="5" xfId="1" applyNumberFormat="1" applyFont="1" applyFill="1" applyBorder="1" applyAlignment="1">
      <alignment horizontal="center" wrapText="1"/>
    </xf>
    <xf numFmtId="49" fontId="17" fillId="2" borderId="1" xfId="1" applyNumberFormat="1" applyFont="1" applyFill="1" applyBorder="1" applyAlignment="1">
      <alignment horizontal="left" wrapText="1"/>
    </xf>
    <xf numFmtId="0" fontId="17" fillId="2" borderId="1" xfId="1" applyFont="1" applyFill="1" applyBorder="1" applyAlignment="1">
      <alignment horizontal="center"/>
    </xf>
    <xf numFmtId="49" fontId="17" fillId="2" borderId="7" xfId="1" applyNumberFormat="1" applyFont="1" applyFill="1" applyBorder="1" applyAlignment="1">
      <alignment wrapText="1"/>
    </xf>
    <xf numFmtId="49" fontId="9" fillId="2" borderId="7" xfId="1" applyNumberFormat="1" applyFont="1" applyFill="1" applyBorder="1" applyAlignment="1">
      <alignment horizontal="left" vertical="top" wrapText="1"/>
    </xf>
    <xf numFmtId="164" fontId="13" fillId="6" borderId="5" xfId="1" applyNumberFormat="1" applyFont="1" applyFill="1" applyBorder="1" applyAlignment="1">
      <alignment horizontal="center" wrapText="1"/>
    </xf>
    <xf numFmtId="11" fontId="9" fillId="2" borderId="7" xfId="1" applyNumberFormat="1" applyFont="1" applyFill="1" applyBorder="1" applyAlignment="1">
      <alignment horizontal="left" wrapText="1"/>
    </xf>
    <xf numFmtId="164" fontId="20" fillId="0" borderId="1" xfId="1" applyNumberFormat="1" applyFont="1" applyFill="1" applyBorder="1" applyAlignment="1">
      <alignment horizontal="center" wrapText="1"/>
    </xf>
    <xf numFmtId="165" fontId="13" fillId="0" borderId="5" xfId="1" applyNumberFormat="1" applyFont="1" applyBorder="1" applyAlignment="1">
      <alignment horizontal="centerContinuous" vertical="top"/>
    </xf>
    <xf numFmtId="0" fontId="10" fillId="0" borderId="0" xfId="1" applyFont="1" applyAlignment="1">
      <alignment horizontal="centerContinuous" vertical="top"/>
    </xf>
    <xf numFmtId="0" fontId="4" fillId="0" borderId="0" xfId="1" applyFont="1" applyAlignment="1">
      <alignment horizontal="centerContinuous" vertical="top"/>
    </xf>
    <xf numFmtId="49" fontId="9" fillId="2" borderId="5" xfId="1" applyNumberFormat="1" applyFont="1" applyFill="1" applyBorder="1" applyAlignment="1">
      <alignment horizontal="centerContinuous" wrapText="1"/>
    </xf>
    <xf numFmtId="0" fontId="21" fillId="0" borderId="0" xfId="1" applyFont="1" applyFill="1"/>
    <xf numFmtId="0" fontId="20" fillId="0" borderId="0" xfId="1" applyFont="1" applyFill="1"/>
    <xf numFmtId="0" fontId="22" fillId="2" borderId="1" xfId="2" applyFont="1" applyFill="1" applyBorder="1" applyAlignment="1">
      <alignment horizontal="justify"/>
    </xf>
    <xf numFmtId="49" fontId="9" fillId="6" borderId="5" xfId="1" applyNumberFormat="1" applyFont="1" applyFill="1" applyBorder="1" applyAlignment="1">
      <alignment horizontal="center" wrapText="1"/>
    </xf>
    <xf numFmtId="49" fontId="9" fillId="0" borderId="7" xfId="1" applyNumberFormat="1" applyFont="1" applyFill="1" applyBorder="1" applyAlignment="1">
      <alignment wrapText="1"/>
    </xf>
    <xf numFmtId="49" fontId="9" fillId="0" borderId="7" xfId="1" applyNumberFormat="1" applyFont="1" applyFill="1" applyBorder="1" applyAlignment="1">
      <alignment horizontal="center" wrapText="1"/>
    </xf>
    <xf numFmtId="49" fontId="9" fillId="0" borderId="5" xfId="1" applyNumberFormat="1" applyFont="1" applyFill="1" applyBorder="1" applyAlignment="1">
      <alignment horizontal="center" wrapText="1"/>
    </xf>
    <xf numFmtId="164" fontId="9" fillId="0" borderId="5" xfId="1" applyNumberFormat="1" applyFont="1" applyFill="1" applyBorder="1" applyAlignment="1">
      <alignment horizontal="center" wrapText="1"/>
    </xf>
    <xf numFmtId="49" fontId="17" fillId="6" borderId="5" xfId="1" applyNumberFormat="1" applyFont="1" applyFill="1" applyBorder="1" applyAlignment="1">
      <alignment horizontal="center" wrapText="1"/>
    </xf>
    <xf numFmtId="49" fontId="17" fillId="0" borderId="7" xfId="1" applyNumberFormat="1" applyFont="1" applyFill="1" applyBorder="1" applyAlignment="1">
      <alignment wrapText="1"/>
    </xf>
    <xf numFmtId="49" fontId="17" fillId="0" borderId="7" xfId="1" applyNumberFormat="1" applyFont="1" applyFill="1" applyBorder="1" applyAlignment="1">
      <alignment horizontal="center" wrapText="1"/>
    </xf>
    <xf numFmtId="49" fontId="17" fillId="0" borderId="5" xfId="1" applyNumberFormat="1" applyFont="1" applyFill="1" applyBorder="1" applyAlignment="1">
      <alignment horizontal="center" wrapText="1"/>
    </xf>
    <xf numFmtId="164" fontId="17" fillId="0" borderId="5" xfId="1" applyNumberFormat="1" applyFont="1" applyFill="1" applyBorder="1" applyAlignment="1">
      <alignment horizontal="center" wrapText="1"/>
    </xf>
    <xf numFmtId="49" fontId="8" fillId="7" borderId="1" xfId="1" applyNumberFormat="1" applyFont="1" applyFill="1" applyBorder="1" applyAlignment="1">
      <alignment horizontal="center"/>
    </xf>
    <xf numFmtId="49" fontId="10" fillId="7" borderId="1" xfId="1" applyNumberFormat="1" applyFont="1" applyFill="1" applyBorder="1" applyAlignment="1">
      <alignment horizontal="left" wrapText="1"/>
    </xf>
    <xf numFmtId="49" fontId="10" fillId="7" borderId="1" xfId="1" applyNumberFormat="1" applyFont="1" applyFill="1" applyBorder="1" applyAlignment="1">
      <alignment horizontal="center" wrapText="1"/>
    </xf>
    <xf numFmtId="49" fontId="10" fillId="7" borderId="1" xfId="1" applyNumberFormat="1" applyFont="1" applyFill="1" applyBorder="1" applyAlignment="1">
      <alignment horizontal="center"/>
    </xf>
    <xf numFmtId="164" fontId="10" fillId="7" borderId="1" xfId="1" applyNumberFormat="1" applyFont="1" applyFill="1" applyBorder="1" applyAlignment="1">
      <alignment horizontal="center"/>
    </xf>
    <xf numFmtId="164" fontId="23" fillId="8" borderId="1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 wrapText="1"/>
    </xf>
    <xf numFmtId="164" fontId="8" fillId="0" borderId="0" xfId="1" applyNumberFormat="1" applyFont="1" applyFill="1" applyBorder="1" applyAlignment="1">
      <alignment horizontal="center"/>
    </xf>
    <xf numFmtId="164" fontId="12" fillId="0" borderId="0" xfId="1" applyNumberFormat="1" applyFont="1" applyFill="1"/>
    <xf numFmtId="0" fontId="13" fillId="0" borderId="0" xfId="1" applyFont="1" applyFill="1" applyAlignment="1">
      <alignment horizontal="center"/>
    </xf>
    <xf numFmtId="164" fontId="10" fillId="0" borderId="0" xfId="1" applyNumberFormat="1" applyFont="1" applyFill="1"/>
    <xf numFmtId="3" fontId="13" fillId="0" borderId="0" xfId="1" applyNumberFormat="1" applyFont="1" applyFill="1" applyAlignment="1">
      <alignment horizontal="center"/>
    </xf>
    <xf numFmtId="49" fontId="4" fillId="0" borderId="0" xfId="1" applyNumberFormat="1"/>
    <xf numFmtId="49" fontId="4" fillId="0" borderId="0" xfId="1" applyNumberFormat="1" applyAlignment="1">
      <alignment wrapText="1"/>
    </xf>
    <xf numFmtId="49" fontId="4" fillId="0" borderId="0" xfId="1" applyNumberFormat="1" applyAlignment="1">
      <alignment horizontal="center"/>
    </xf>
    <xf numFmtId="164" fontId="4" fillId="0" borderId="0" xfId="1" applyNumberFormat="1" applyAlignment="1">
      <alignment horizontal="center"/>
    </xf>
    <xf numFmtId="164" fontId="24" fillId="0" borderId="0" xfId="1" applyNumberFormat="1" applyFont="1" applyAlignment="1">
      <alignment horizontal="center"/>
    </xf>
    <xf numFmtId="164" fontId="4" fillId="0" borderId="0" xfId="1" applyNumberFormat="1" applyFont="1"/>
    <xf numFmtId="3" fontId="8" fillId="0" borderId="0" xfId="1" applyNumberFormat="1" applyFont="1" applyAlignment="1">
      <alignment horizontal="center"/>
    </xf>
    <xf numFmtId="0" fontId="8" fillId="0" borderId="0" xfId="1" applyFont="1" applyAlignment="1">
      <alignment wrapText="1"/>
    </xf>
    <xf numFmtId="164" fontId="8" fillId="9" borderId="0" xfId="1" applyNumberFormat="1" applyFont="1" applyFill="1" applyAlignment="1">
      <alignment horizontal="center"/>
    </xf>
    <xf numFmtId="0" fontId="14" fillId="0" borderId="0" xfId="1" applyFont="1" applyAlignment="1">
      <alignment horizontal="center"/>
    </xf>
    <xf numFmtId="0" fontId="4" fillId="0" borderId="0" xfId="1" applyAlignment="1">
      <alignment horizontal="center"/>
    </xf>
    <xf numFmtId="4" fontId="4" fillId="0" borderId="0" xfId="1" applyNumberFormat="1" applyAlignment="1">
      <alignment horizontal="center"/>
    </xf>
    <xf numFmtId="3" fontId="10" fillId="0" borderId="0" xfId="1" applyNumberFormat="1" applyFont="1"/>
    <xf numFmtId="164" fontId="4" fillId="0" borderId="0" xfId="1" applyNumberFormat="1" applyFont="1" applyAlignment="1">
      <alignment horizontal="center"/>
    </xf>
    <xf numFmtId="49" fontId="25" fillId="0" borderId="0" xfId="1" applyNumberFormat="1" applyFont="1" applyFill="1" applyBorder="1" applyAlignment="1">
      <alignment wrapText="1"/>
    </xf>
    <xf numFmtId="0" fontId="9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49" fontId="10" fillId="0" borderId="0" xfId="1" applyNumberFormat="1" applyFont="1" applyAlignment="1">
      <alignment horizontal="right"/>
    </xf>
    <xf numFmtId="0" fontId="30" fillId="0" borderId="0" xfId="1" applyFont="1"/>
    <xf numFmtId="14" fontId="8" fillId="0" borderId="0" xfId="1" applyNumberFormat="1" applyFont="1" applyAlignment="1">
      <alignment horizontal="right"/>
    </xf>
    <xf numFmtId="0" fontId="8" fillId="0" borderId="0" xfId="1" applyFont="1" applyAlignment="1"/>
    <xf numFmtId="0" fontId="31" fillId="0" borderId="0" xfId="1" applyFont="1"/>
    <xf numFmtId="0" fontId="32" fillId="0" borderId="10" xfId="1" applyFont="1" applyBorder="1" applyAlignment="1">
      <alignment vertical="center"/>
    </xf>
    <xf numFmtId="0" fontId="32" fillId="0" borderId="11" xfId="1" applyFont="1" applyBorder="1" applyAlignment="1">
      <alignment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2" fontId="31" fillId="0" borderId="14" xfId="1" applyNumberFormat="1" applyFont="1" applyBorder="1" applyAlignment="1">
      <alignment horizontal="center" vertical="center"/>
    </xf>
    <xf numFmtId="2" fontId="31" fillId="0" borderId="13" xfId="1" applyNumberFormat="1" applyFont="1" applyBorder="1" applyAlignment="1">
      <alignment horizontal="center" vertical="center"/>
    </xf>
    <xf numFmtId="2" fontId="31" fillId="0" borderId="15" xfId="1" applyNumberFormat="1" applyFont="1" applyBorder="1" applyAlignment="1">
      <alignment horizontal="center" vertical="center"/>
    </xf>
    <xf numFmtId="0" fontId="31" fillId="0" borderId="5" xfId="1" applyFont="1" applyBorder="1" applyAlignment="1">
      <alignment horizontal="center"/>
    </xf>
    <xf numFmtId="0" fontId="31" fillId="0" borderId="7" xfId="1" applyFont="1" applyBorder="1" applyAlignment="1">
      <alignment horizontal="center"/>
    </xf>
    <xf numFmtId="0" fontId="33" fillId="0" borderId="7" xfId="1" applyFont="1" applyBorder="1" applyAlignment="1">
      <alignment horizontal="center" vertical="center" wrapText="1"/>
    </xf>
    <xf numFmtId="0" fontId="33" fillId="0" borderId="5" xfId="1" applyFont="1" applyBorder="1" applyAlignment="1">
      <alignment horizontal="center" vertical="center" wrapText="1"/>
    </xf>
    <xf numFmtId="0" fontId="34" fillId="0" borderId="5" xfId="1" applyFont="1" applyBorder="1" applyAlignment="1">
      <alignment horizontal="center" vertical="center"/>
    </xf>
    <xf numFmtId="0" fontId="34" fillId="0" borderId="16" xfId="1" applyFont="1" applyBorder="1" applyAlignment="1">
      <alignment horizontal="center" vertical="center"/>
    </xf>
    <xf numFmtId="0" fontId="34" fillId="0" borderId="17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32" fillId="0" borderId="5" xfId="1" applyFont="1" applyBorder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3" fontId="17" fillId="0" borderId="5" xfId="1" applyNumberFormat="1" applyFont="1" applyBorder="1" applyAlignment="1">
      <alignment horizontal="center" vertical="center" wrapText="1"/>
    </xf>
    <xf numFmtId="0" fontId="32" fillId="0" borderId="5" xfId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49" fontId="9" fillId="4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left" vertical="center" wrapText="1"/>
    </xf>
    <xf numFmtId="164" fontId="9" fillId="4" borderId="5" xfId="1" applyNumberFormat="1" applyFont="1" applyFill="1" applyBorder="1" applyAlignment="1">
      <alignment horizontal="center" vertical="center" wrapText="1"/>
    </xf>
    <xf numFmtId="164" fontId="21" fillId="4" borderId="5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Alignment="1">
      <alignment horizontal="center"/>
    </xf>
    <xf numFmtId="164" fontId="8" fillId="0" borderId="0" xfId="1" applyNumberFormat="1" applyFont="1"/>
    <xf numFmtId="164" fontId="4" fillId="0" borderId="0" xfId="1" applyNumberFormat="1"/>
    <xf numFmtId="49" fontId="9" fillId="5" borderId="1" xfId="1" applyNumberFormat="1" applyFont="1" applyFill="1" applyBorder="1" applyAlignment="1">
      <alignment horizontal="center" vertical="center"/>
    </xf>
    <xf numFmtId="49" fontId="9" fillId="5" borderId="1" xfId="1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164" fontId="10" fillId="5" borderId="1" xfId="1" applyNumberFormat="1" applyFont="1" applyFill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164" fontId="35" fillId="0" borderId="1" xfId="1" applyNumberFormat="1" applyFont="1" applyBorder="1" applyAlignment="1">
      <alignment horizontal="center" vertical="center" wrapText="1"/>
    </xf>
    <xf numFmtId="49" fontId="9" fillId="10" borderId="1" xfId="1" applyNumberFormat="1" applyFont="1" applyFill="1" applyBorder="1" applyAlignment="1">
      <alignment horizontal="center" vertical="center"/>
    </xf>
    <xf numFmtId="49" fontId="9" fillId="10" borderId="1" xfId="1" applyNumberFormat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left" vertical="center" wrapText="1"/>
    </xf>
    <xf numFmtId="164" fontId="9" fillId="10" borderId="1" xfId="1" applyNumberFormat="1" applyFont="1" applyFill="1" applyBorder="1" applyAlignment="1">
      <alignment horizontal="center" vertical="center" wrapText="1"/>
    </xf>
    <xf numFmtId="164" fontId="8" fillId="1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center"/>
    </xf>
    <xf numFmtId="49" fontId="17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4" fillId="6" borderId="0" xfId="1" applyFill="1"/>
    <xf numFmtId="164" fontId="35" fillId="0" borderId="1" xfId="1" applyNumberFormat="1" applyFont="1" applyBorder="1" applyAlignment="1">
      <alignment horizontal="center" vertical="center"/>
    </xf>
    <xf numFmtId="49" fontId="17" fillId="6" borderId="1" xfId="1" applyNumberFormat="1" applyFont="1" applyFill="1" applyBorder="1" applyAlignment="1">
      <alignment horizontal="center" vertical="center"/>
    </xf>
    <xf numFmtId="164" fontId="17" fillId="6" borderId="1" xfId="1" applyNumberFormat="1" applyFont="1" applyFill="1" applyBorder="1" applyAlignment="1">
      <alignment horizontal="center" vertical="center" wrapText="1"/>
    </xf>
    <xf numFmtId="164" fontId="35" fillId="6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wrapText="1"/>
    </xf>
    <xf numFmtId="3" fontId="9" fillId="5" borderId="1" xfId="1" applyNumberFormat="1" applyFont="1" applyFill="1" applyBorder="1" applyAlignment="1">
      <alignment horizontal="center" vertical="center" wrapText="1"/>
    </xf>
    <xf numFmtId="3" fontId="17" fillId="0" borderId="1" xfId="1" applyNumberFormat="1" applyFont="1" applyBorder="1" applyAlignment="1">
      <alignment horizontal="center" vertical="center" wrapText="1"/>
    </xf>
    <xf numFmtId="164" fontId="36" fillId="0" borderId="1" xfId="1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164" fontId="23" fillId="0" borderId="1" xfId="1" applyNumberFormat="1" applyFont="1" applyBorder="1" applyAlignment="1">
      <alignment horizontal="center" vertical="center" wrapText="1"/>
    </xf>
    <xf numFmtId="0" fontId="17" fillId="0" borderId="1" xfId="1" applyNumberFormat="1" applyFont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64" fontId="37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vertical="center" wrapText="1"/>
    </xf>
    <xf numFmtId="0" fontId="17" fillId="0" borderId="0" xfId="1" applyFont="1" applyAlignment="1">
      <alignment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/>
    </xf>
    <xf numFmtId="164" fontId="36" fillId="0" borderId="1" xfId="1" applyNumberFormat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horizontal="center" vertical="center" wrapText="1"/>
    </xf>
    <xf numFmtId="164" fontId="9" fillId="11" borderId="1" xfId="1" applyNumberFormat="1" applyFont="1" applyFill="1" applyBorder="1" applyAlignment="1">
      <alignment horizontal="center" vertical="center" wrapText="1"/>
    </xf>
    <xf numFmtId="164" fontId="38" fillId="12" borderId="1" xfId="1" applyNumberFormat="1" applyFont="1" applyFill="1" applyBorder="1" applyAlignment="1">
      <alignment horizontal="center" vertical="center" wrapText="1"/>
    </xf>
    <xf numFmtId="0" fontId="17" fillId="0" borderId="0" xfId="1" applyFont="1"/>
    <xf numFmtId="0" fontId="17" fillId="0" borderId="0" xfId="1" applyFont="1" applyAlignment="1">
      <alignment horizontal="center"/>
    </xf>
    <xf numFmtId="164" fontId="39" fillId="6" borderId="0" xfId="1" applyNumberFormat="1" applyFont="1" applyFill="1" applyBorder="1" applyAlignment="1">
      <alignment horizontal="center"/>
    </xf>
    <xf numFmtId="164" fontId="23" fillId="2" borderId="0" xfId="1" applyNumberFormat="1" applyFont="1" applyFill="1" applyBorder="1" applyAlignment="1">
      <alignment horizontal="center"/>
    </xf>
    <xf numFmtId="164" fontId="39" fillId="0" borderId="0" xfId="1" applyNumberFormat="1" applyFont="1"/>
    <xf numFmtId="4" fontId="13" fillId="0" borderId="0" xfId="1" applyNumberFormat="1" applyFont="1"/>
    <xf numFmtId="49" fontId="8" fillId="0" borderId="0" xfId="1" applyNumberFormat="1" applyFont="1" applyFill="1" applyBorder="1" applyAlignment="1">
      <alignment horizontal="left" wrapText="1"/>
    </xf>
    <xf numFmtId="4" fontId="10" fillId="0" borderId="0" xfId="1" applyNumberFormat="1" applyFont="1" applyFill="1" applyBorder="1" applyAlignment="1">
      <alignment horizontal="center"/>
    </xf>
    <xf numFmtId="164" fontId="8" fillId="6" borderId="0" xfId="1" applyNumberFormat="1" applyFont="1" applyFill="1" applyBorder="1" applyAlignment="1">
      <alignment horizontal="center"/>
    </xf>
    <xf numFmtId="164" fontId="10" fillId="6" borderId="0" xfId="1" applyNumberFormat="1" applyFont="1" applyFill="1" applyBorder="1"/>
    <xf numFmtId="164" fontId="8" fillId="0" borderId="0" xfId="1" applyNumberFormat="1" applyFont="1" applyAlignment="1">
      <alignment horizontal="center"/>
    </xf>
    <xf numFmtId="4" fontId="4" fillId="0" borderId="0" xfId="1" applyNumberFormat="1"/>
    <xf numFmtId="165" fontId="4" fillId="0" borderId="0" xfId="1" applyNumberFormat="1"/>
    <xf numFmtId="0" fontId="12" fillId="0" borderId="0" xfId="1" applyFont="1"/>
    <xf numFmtId="4" fontId="12" fillId="0" borderId="0" xfId="1" applyNumberFormat="1" applyFont="1"/>
    <xf numFmtId="164" fontId="12" fillId="0" borderId="0" xfId="1" applyNumberFormat="1" applyFont="1"/>
    <xf numFmtId="0" fontId="39" fillId="0" borderId="0" xfId="1" applyFont="1" applyFill="1"/>
    <xf numFmtId="0" fontId="9" fillId="0" borderId="0" xfId="1" applyFont="1" applyAlignment="1">
      <alignment horizontal="right"/>
    </xf>
    <xf numFmtId="14" fontId="9" fillId="2" borderId="0" xfId="1" applyNumberFormat="1" applyFont="1" applyFill="1" applyAlignment="1">
      <alignment horizontal="right"/>
    </xf>
    <xf numFmtId="49" fontId="11" fillId="0" borderId="0" xfId="1" applyNumberFormat="1" applyFont="1" applyBorder="1" applyAlignment="1">
      <alignment horizontal="center" wrapText="1"/>
    </xf>
    <xf numFmtId="14" fontId="9" fillId="0" borderId="0" xfId="1" applyNumberFormat="1" applyFont="1" applyAlignment="1">
      <alignment horizontal="center"/>
    </xf>
    <xf numFmtId="14" fontId="9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0" fontId="8" fillId="0" borderId="9" xfId="1" applyFont="1" applyBorder="1" applyAlignment="1">
      <alignment horizontal="center"/>
    </xf>
    <xf numFmtId="0" fontId="6" fillId="0" borderId="0" xfId="12" applyFont="1" applyAlignment="1">
      <alignment horizontal="right"/>
    </xf>
    <xf numFmtId="0" fontId="9" fillId="2" borderId="0" xfId="12" applyFont="1" applyFill="1" applyAlignment="1">
      <alignment horizontal="right"/>
    </xf>
    <xf numFmtId="0" fontId="9" fillId="2" borderId="0" xfId="12" applyFont="1" applyFill="1" applyAlignment="1">
      <alignment horizontal="center"/>
    </xf>
    <xf numFmtId="0" fontId="6" fillId="0" borderId="0" xfId="12" applyFont="1"/>
    <xf numFmtId="0" fontId="8" fillId="0" borderId="0" xfId="12" applyFont="1" applyBorder="1" applyAlignment="1">
      <alignment horizontal="left" wrapText="1"/>
    </xf>
    <xf numFmtId="0" fontId="1" fillId="0" borderId="0" xfId="12"/>
    <xf numFmtId="0" fontId="17" fillId="0" borderId="1" xfId="12" applyNumberFormat="1" applyFont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2 2" xfId="3"/>
    <cellStyle name="Обычный 2 2 2" xfId="4"/>
    <cellStyle name="Обычный 2 2 3" xfId="5"/>
    <cellStyle name="Обычный 2_№2 Расходы сводная бюджетная роспись 2012г." xfId="6"/>
    <cellStyle name="Обычный 3" xfId="2"/>
    <cellStyle name="Обычный 3 2" xfId="7"/>
    <cellStyle name="Обычный 3 2 2" xfId="11"/>
    <cellStyle name="Обычный 3 3" xfId="12"/>
    <cellStyle name="Обычный 3_№2 Расходы сводная бюджетная роспись 2012г." xfId="8"/>
    <cellStyle name="Обычный 4" xfId="9"/>
    <cellStyle name="Процентный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8470;2%20&#1056;&#1072;&#1089;&#1093;&#1086;&#1076;&#1099;%20&#1089;&#1074;&#1086;&#1076;&#1085;&#1072;&#1103;%20&#1073;&#1102;&#1076;&#1078;&#1077;&#1090;&#1085;&#1072;&#1103;%20&#1088;&#1086;&#1089;&#1087;&#1080;&#1089;&#1100;%202013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72;&#1088;&#1080;&#1085;&#1072;\Desktop\&#1041;&#1070;&#1044;&#1046;&#1045;&#1058;%202013&#1075;\&#1057;&#1042;&#1054;&#1044;&#1053;&#1040;&#1071;%20&#1041;&#1070;&#1044;&#1046;&#1045;&#1058;&#1053;&#1040;&#1071;%20&#1056;&#1054;&#1057;&#1055;&#1048;&#1057;&#1068;%202013&#1075;%20&#1080;%20&#1057;&#1052;&#1045;&#1058;&#1067;\&#8470;1%20&#1044;&#1054;&#1061;&#1054;&#1044;&#1067;%202013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пись 2013 к Проекту"/>
      <sheetName val="ПРОЕКТ БЮДЖ. 2013"/>
      <sheetName val="Бюдж.1 чтение, нов. виды  2013 "/>
      <sheetName val="Бюдж.2 чтение, нов. виды  "/>
      <sheetName val="Бюдж.2 чтение,ИСПРАВЛЕННЫЙ"/>
      <sheetName val="Ропись 2013 утвержд."/>
      <sheetName val="Ропись 2013 утвержд. 1 кв."/>
      <sheetName val="Ропись 2013 утвержд. спр.3"/>
      <sheetName val="Ропись 2013 утвержд. спр.4,5"/>
      <sheetName val="Ропись 2013 утвержд. спр.6"/>
      <sheetName val="Ропись 2013 утвержд. спр.7"/>
      <sheetName val="Ропись 2013 за август"/>
      <sheetName val="Ропись 2013 за сентябрь (спр.9)"/>
      <sheetName val="Ропись 2013 за октяб. спр.11.12"/>
      <sheetName val="Ропись 2013 за октяб. спр.10,11"/>
      <sheetName val="БЮДЖЕТ Изм. ОПЕКА октяб.2013г"/>
      <sheetName val="БЮДЖЕТ Изм. ноябрь Решение"/>
      <sheetName val="БЮДЖЕТ Изм. ноябрь Постано 112"/>
      <sheetName val="Ропись 2013 за октяб. спр.12"/>
      <sheetName val="Ропись 2013 за октяб. спр.13"/>
      <sheetName val="Источники к Росписи"/>
      <sheetName val="Кассовый план на 2013 год"/>
      <sheetName val="Кассовый план на 01.02.2013 "/>
      <sheetName val="Касс. план на 01.03.2013(спр1) "/>
      <sheetName val="Касс. план на 01.03.13 спр.2"/>
      <sheetName val="Касс. план на 01.03.13 спр. 3"/>
      <sheetName val="Касс. план на 01.06.13 спр.4,5"/>
      <sheetName val="Касс. план на 01.07.13 спр. 6"/>
      <sheetName val="Касс. план на 01.08.13 спр. 7"/>
      <sheetName val="Касс. план на 01.08.13 спр. 8"/>
      <sheetName val="Касс. план на сентябрь спр. 9"/>
      <sheetName val="Касс. план на октябрь спр. 10"/>
      <sheetName val="Касс. план на октяб спр. 11"/>
      <sheetName val="Касс. план на октяб спр. 12"/>
      <sheetName val="Касс. план на октяб спр. 13"/>
    </sheetNames>
    <sheetDataSet>
      <sheetData sheetId="0"/>
      <sheetData sheetId="1"/>
      <sheetData sheetId="2"/>
      <sheetData sheetId="3"/>
      <sheetData sheetId="4"/>
      <sheetData sheetId="5">
        <row r="130">
          <cell r="H130">
            <v>583.20000000000005</v>
          </cell>
        </row>
        <row r="357">
          <cell r="H357">
            <v>886.6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 дох. на 01.01.2013"/>
      <sheetName val="1 чтение дох. на 01.01.2013 (2)"/>
      <sheetName val="УТВ.Доходы 2013г"/>
      <sheetName val="УТВ.Доходы 2013г Испр."/>
      <sheetName val=" Роспись 2013г"/>
      <sheetName val=" Роспись 2013г 1 кв."/>
      <sheetName val=" Роспись 2013г апрель"/>
      <sheetName val=" Роспись 2013г май"/>
      <sheetName val=" Роспись 2013г полугодие"/>
      <sheetName val=" Роспись 2013г июль"/>
      <sheetName val=" Роспись 2013г август"/>
      <sheetName val=" Роспись 2013г сентябрь"/>
      <sheetName val="2013г Изм.бюджета ОПЕКА "/>
      <sheetName val="2013г к Реш №17 Измен. Опека"/>
      <sheetName val="2013г к Реш  Измен. Ноябрь"/>
      <sheetName val="2013г Роспись Спр.12"/>
      <sheetName val="2013г Роспись Спр.13"/>
      <sheetName val=" Кассовый план 2013г"/>
      <sheetName val=" Кассов. план на 01. 02.2013г"/>
      <sheetName val=" Кассов. план  01.03.2013(спр1)"/>
      <sheetName val=" Кассов. план  01.03.2013спр.2"/>
      <sheetName val=" Кассов. план  01.03.2013 спр.3"/>
      <sheetName val=" Кассов. план 01.03.13 спр. 4,5"/>
      <sheetName val=" Кассов. план 01.03.13 спр. 6"/>
      <sheetName val=" Кассов. план 01.03.13 спр.7"/>
      <sheetName val=" Кассов. план спр. 8 август"/>
      <sheetName val=" Кассов. план авг. "/>
      <sheetName val=" Кассов. план сентябрь"/>
      <sheetName val=" Кассов. план спр.10"/>
      <sheetName val=" Кассов. план спр.11"/>
      <sheetName val=" Кассов. план спр.12"/>
      <sheetName val=" Кассов. план спр.1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5">
          <cell r="E15">
            <v>47835.599999999991</v>
          </cell>
        </row>
        <row r="16">
          <cell r="E16">
            <v>28161.199999999997</v>
          </cell>
        </row>
        <row r="17">
          <cell r="E17">
            <v>21188.1</v>
          </cell>
        </row>
        <row r="18">
          <cell r="E18">
            <v>15447.3</v>
          </cell>
        </row>
        <row r="19">
          <cell r="E19">
            <v>15347.3</v>
          </cell>
        </row>
        <row r="20">
          <cell r="E20">
            <v>100</v>
          </cell>
        </row>
        <row r="21">
          <cell r="E21">
            <v>3629.7000000000003</v>
          </cell>
        </row>
        <row r="22">
          <cell r="E22">
            <v>3529.7000000000003</v>
          </cell>
        </row>
        <row r="23">
          <cell r="E23">
            <v>100</v>
          </cell>
        </row>
        <row r="24">
          <cell r="E24">
            <v>2111.1</v>
          </cell>
        </row>
        <row r="25">
          <cell r="E25">
            <v>6973.0999999999995</v>
          </cell>
        </row>
        <row r="26">
          <cell r="E26">
            <v>6900.2</v>
          </cell>
        </row>
        <row r="27">
          <cell r="E27">
            <v>72.900000000000006</v>
          </cell>
        </row>
        <row r="28">
          <cell r="E28">
            <v>15982.6</v>
          </cell>
        </row>
        <row r="29">
          <cell r="E29">
            <v>15982.6</v>
          </cell>
        </row>
        <row r="30">
          <cell r="E30">
            <v>15982.6</v>
          </cell>
        </row>
        <row r="31">
          <cell r="E31">
            <v>6.2</v>
          </cell>
        </row>
        <row r="32">
          <cell r="E32">
            <v>6.2</v>
          </cell>
        </row>
        <row r="33">
          <cell r="E33">
            <v>6.2</v>
          </cell>
        </row>
        <row r="34">
          <cell r="E34">
            <v>50</v>
          </cell>
        </row>
        <row r="35">
          <cell r="E35">
            <v>30</v>
          </cell>
        </row>
        <row r="36">
          <cell r="E36">
            <v>30</v>
          </cell>
        </row>
        <row r="37">
          <cell r="E37">
            <v>20</v>
          </cell>
        </row>
        <row r="38">
          <cell r="E38">
            <v>20</v>
          </cell>
        </row>
        <row r="39">
          <cell r="E39">
            <v>20</v>
          </cell>
        </row>
        <row r="40">
          <cell r="E40">
            <v>3635.6000000000004</v>
          </cell>
        </row>
        <row r="41">
          <cell r="E41">
            <v>194.7</v>
          </cell>
        </row>
        <row r="42">
          <cell r="E42">
            <v>500</v>
          </cell>
        </row>
        <row r="43">
          <cell r="E43">
            <v>500</v>
          </cell>
        </row>
        <row r="44">
          <cell r="E44">
            <v>2940.9</v>
          </cell>
        </row>
        <row r="45">
          <cell r="E45">
            <v>2940.9</v>
          </cell>
        </row>
        <row r="46">
          <cell r="E46">
            <v>2908.1</v>
          </cell>
        </row>
        <row r="47">
          <cell r="E47">
            <v>32.799999999999997</v>
          </cell>
        </row>
        <row r="48">
          <cell r="E48">
            <v>6832.8000000000011</v>
          </cell>
        </row>
        <row r="49">
          <cell r="E49">
            <v>6832.8000000000011</v>
          </cell>
        </row>
        <row r="50">
          <cell r="E50">
            <v>6832.8000000000011</v>
          </cell>
        </row>
        <row r="51">
          <cell r="E51">
            <v>1976.6</v>
          </cell>
        </row>
        <row r="52">
          <cell r="E52">
            <v>1976.6</v>
          </cell>
        </row>
        <row r="53">
          <cell r="E53">
            <v>1971.6</v>
          </cell>
        </row>
        <row r="54">
          <cell r="E54">
            <v>5</v>
          </cell>
        </row>
        <row r="55">
          <cell r="E55">
            <v>4856.2000000000007</v>
          </cell>
        </row>
        <row r="56">
          <cell r="E56">
            <v>4856.2000000000007</v>
          </cell>
        </row>
        <row r="57">
          <cell r="E57">
            <v>3268.8</v>
          </cell>
        </row>
        <row r="58">
          <cell r="E58">
            <v>1587.4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54668.399999999994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0"/>
  <sheetViews>
    <sheetView tabSelected="1" topLeftCell="A55" zoomScale="80" zoomScaleNormal="80" zoomScaleSheetLayoutView="70" workbookViewId="0">
      <selection activeCell="D30" sqref="D30"/>
    </sheetView>
  </sheetViews>
  <sheetFormatPr defaultColWidth="9.08984375" defaultRowHeight="12.5" x14ac:dyDescent="0.25"/>
  <cols>
    <col min="1" max="2" width="13" style="6" customWidth="1"/>
    <col min="3" max="3" width="30.08984375" style="6" customWidth="1"/>
    <col min="4" max="4" width="65.90625" style="6" customWidth="1"/>
    <col min="5" max="5" width="15.90625" style="6" customWidth="1"/>
    <col min="6" max="6" width="16" style="6" hidden="1" customWidth="1"/>
    <col min="7" max="7" width="14" style="6" hidden="1" customWidth="1"/>
    <col min="8" max="8" width="14.08984375" style="6" hidden="1" customWidth="1"/>
    <col min="9" max="9" width="17.08984375" style="6" hidden="1" customWidth="1"/>
    <col min="10" max="10" width="17.1796875" style="6" customWidth="1"/>
    <col min="11" max="11" width="11.08984375" style="6" customWidth="1"/>
    <col min="12" max="12" width="9.08984375" style="6"/>
    <col min="13" max="13" width="12.453125" style="6" customWidth="1"/>
    <col min="14" max="256" width="9.08984375" style="6"/>
    <col min="257" max="258" width="13" style="6" customWidth="1"/>
    <col min="259" max="259" width="30.08984375" style="6" customWidth="1"/>
    <col min="260" max="260" width="65.90625" style="6" customWidth="1"/>
    <col min="261" max="261" width="15.90625" style="6" customWidth="1"/>
    <col min="262" max="265" width="0" style="6" hidden="1" customWidth="1"/>
    <col min="266" max="266" width="17.1796875" style="6" customWidth="1"/>
    <col min="267" max="267" width="11.08984375" style="6" customWidth="1"/>
    <col min="268" max="268" width="9.08984375" style="6"/>
    <col min="269" max="269" width="12.453125" style="6" customWidth="1"/>
    <col min="270" max="512" width="9.08984375" style="6"/>
    <col min="513" max="514" width="13" style="6" customWidth="1"/>
    <col min="515" max="515" width="30.08984375" style="6" customWidth="1"/>
    <col min="516" max="516" width="65.90625" style="6" customWidth="1"/>
    <col min="517" max="517" width="15.90625" style="6" customWidth="1"/>
    <col min="518" max="521" width="0" style="6" hidden="1" customWidth="1"/>
    <col min="522" max="522" width="17.1796875" style="6" customWidth="1"/>
    <col min="523" max="523" width="11.08984375" style="6" customWidth="1"/>
    <col min="524" max="524" width="9.08984375" style="6"/>
    <col min="525" max="525" width="12.453125" style="6" customWidth="1"/>
    <col min="526" max="768" width="9.08984375" style="6"/>
    <col min="769" max="770" width="13" style="6" customWidth="1"/>
    <col min="771" max="771" width="30.08984375" style="6" customWidth="1"/>
    <col min="772" max="772" width="65.90625" style="6" customWidth="1"/>
    <col min="773" max="773" width="15.90625" style="6" customWidth="1"/>
    <col min="774" max="777" width="0" style="6" hidden="1" customWidth="1"/>
    <col min="778" max="778" width="17.1796875" style="6" customWidth="1"/>
    <col min="779" max="779" width="11.08984375" style="6" customWidth="1"/>
    <col min="780" max="780" width="9.08984375" style="6"/>
    <col min="781" max="781" width="12.453125" style="6" customWidth="1"/>
    <col min="782" max="1024" width="9.08984375" style="6"/>
    <col min="1025" max="1026" width="13" style="6" customWidth="1"/>
    <col min="1027" max="1027" width="30.08984375" style="6" customWidth="1"/>
    <col min="1028" max="1028" width="65.90625" style="6" customWidth="1"/>
    <col min="1029" max="1029" width="15.90625" style="6" customWidth="1"/>
    <col min="1030" max="1033" width="0" style="6" hidden="1" customWidth="1"/>
    <col min="1034" max="1034" width="17.1796875" style="6" customWidth="1"/>
    <col min="1035" max="1035" width="11.08984375" style="6" customWidth="1"/>
    <col min="1036" max="1036" width="9.08984375" style="6"/>
    <col min="1037" max="1037" width="12.453125" style="6" customWidth="1"/>
    <col min="1038" max="1280" width="9.08984375" style="6"/>
    <col min="1281" max="1282" width="13" style="6" customWidth="1"/>
    <col min="1283" max="1283" width="30.08984375" style="6" customWidth="1"/>
    <col min="1284" max="1284" width="65.90625" style="6" customWidth="1"/>
    <col min="1285" max="1285" width="15.90625" style="6" customWidth="1"/>
    <col min="1286" max="1289" width="0" style="6" hidden="1" customWidth="1"/>
    <col min="1290" max="1290" width="17.1796875" style="6" customWidth="1"/>
    <col min="1291" max="1291" width="11.08984375" style="6" customWidth="1"/>
    <col min="1292" max="1292" width="9.08984375" style="6"/>
    <col min="1293" max="1293" width="12.453125" style="6" customWidth="1"/>
    <col min="1294" max="1536" width="9.08984375" style="6"/>
    <col min="1537" max="1538" width="13" style="6" customWidth="1"/>
    <col min="1539" max="1539" width="30.08984375" style="6" customWidth="1"/>
    <col min="1540" max="1540" width="65.90625" style="6" customWidth="1"/>
    <col min="1541" max="1541" width="15.90625" style="6" customWidth="1"/>
    <col min="1542" max="1545" width="0" style="6" hidden="1" customWidth="1"/>
    <col min="1546" max="1546" width="17.1796875" style="6" customWidth="1"/>
    <col min="1547" max="1547" width="11.08984375" style="6" customWidth="1"/>
    <col min="1548" max="1548" width="9.08984375" style="6"/>
    <col min="1549" max="1549" width="12.453125" style="6" customWidth="1"/>
    <col min="1550" max="1792" width="9.08984375" style="6"/>
    <col min="1793" max="1794" width="13" style="6" customWidth="1"/>
    <col min="1795" max="1795" width="30.08984375" style="6" customWidth="1"/>
    <col min="1796" max="1796" width="65.90625" style="6" customWidth="1"/>
    <col min="1797" max="1797" width="15.90625" style="6" customWidth="1"/>
    <col min="1798" max="1801" width="0" style="6" hidden="1" customWidth="1"/>
    <col min="1802" max="1802" width="17.1796875" style="6" customWidth="1"/>
    <col min="1803" max="1803" width="11.08984375" style="6" customWidth="1"/>
    <col min="1804" max="1804" width="9.08984375" style="6"/>
    <col min="1805" max="1805" width="12.453125" style="6" customWidth="1"/>
    <col min="1806" max="2048" width="9.08984375" style="6"/>
    <col min="2049" max="2050" width="13" style="6" customWidth="1"/>
    <col min="2051" max="2051" width="30.08984375" style="6" customWidth="1"/>
    <col min="2052" max="2052" width="65.90625" style="6" customWidth="1"/>
    <col min="2053" max="2053" width="15.90625" style="6" customWidth="1"/>
    <col min="2054" max="2057" width="0" style="6" hidden="1" customWidth="1"/>
    <col min="2058" max="2058" width="17.1796875" style="6" customWidth="1"/>
    <col min="2059" max="2059" width="11.08984375" style="6" customWidth="1"/>
    <col min="2060" max="2060" width="9.08984375" style="6"/>
    <col min="2061" max="2061" width="12.453125" style="6" customWidth="1"/>
    <col min="2062" max="2304" width="9.08984375" style="6"/>
    <col min="2305" max="2306" width="13" style="6" customWidth="1"/>
    <col min="2307" max="2307" width="30.08984375" style="6" customWidth="1"/>
    <col min="2308" max="2308" width="65.90625" style="6" customWidth="1"/>
    <col min="2309" max="2309" width="15.90625" style="6" customWidth="1"/>
    <col min="2310" max="2313" width="0" style="6" hidden="1" customWidth="1"/>
    <col min="2314" max="2314" width="17.1796875" style="6" customWidth="1"/>
    <col min="2315" max="2315" width="11.08984375" style="6" customWidth="1"/>
    <col min="2316" max="2316" width="9.08984375" style="6"/>
    <col min="2317" max="2317" width="12.453125" style="6" customWidth="1"/>
    <col min="2318" max="2560" width="9.08984375" style="6"/>
    <col min="2561" max="2562" width="13" style="6" customWidth="1"/>
    <col min="2563" max="2563" width="30.08984375" style="6" customWidth="1"/>
    <col min="2564" max="2564" width="65.90625" style="6" customWidth="1"/>
    <col min="2565" max="2565" width="15.90625" style="6" customWidth="1"/>
    <col min="2566" max="2569" width="0" style="6" hidden="1" customWidth="1"/>
    <col min="2570" max="2570" width="17.1796875" style="6" customWidth="1"/>
    <col min="2571" max="2571" width="11.08984375" style="6" customWidth="1"/>
    <col min="2572" max="2572" width="9.08984375" style="6"/>
    <col min="2573" max="2573" width="12.453125" style="6" customWidth="1"/>
    <col min="2574" max="2816" width="9.08984375" style="6"/>
    <col min="2817" max="2818" width="13" style="6" customWidth="1"/>
    <col min="2819" max="2819" width="30.08984375" style="6" customWidth="1"/>
    <col min="2820" max="2820" width="65.90625" style="6" customWidth="1"/>
    <col min="2821" max="2821" width="15.90625" style="6" customWidth="1"/>
    <col min="2822" max="2825" width="0" style="6" hidden="1" customWidth="1"/>
    <col min="2826" max="2826" width="17.1796875" style="6" customWidth="1"/>
    <col min="2827" max="2827" width="11.08984375" style="6" customWidth="1"/>
    <col min="2828" max="2828" width="9.08984375" style="6"/>
    <col min="2829" max="2829" width="12.453125" style="6" customWidth="1"/>
    <col min="2830" max="3072" width="9.08984375" style="6"/>
    <col min="3073" max="3074" width="13" style="6" customWidth="1"/>
    <col min="3075" max="3075" width="30.08984375" style="6" customWidth="1"/>
    <col min="3076" max="3076" width="65.90625" style="6" customWidth="1"/>
    <col min="3077" max="3077" width="15.90625" style="6" customWidth="1"/>
    <col min="3078" max="3081" width="0" style="6" hidden="1" customWidth="1"/>
    <col min="3082" max="3082" width="17.1796875" style="6" customWidth="1"/>
    <col min="3083" max="3083" width="11.08984375" style="6" customWidth="1"/>
    <col min="3084" max="3084" width="9.08984375" style="6"/>
    <col min="3085" max="3085" width="12.453125" style="6" customWidth="1"/>
    <col min="3086" max="3328" width="9.08984375" style="6"/>
    <col min="3329" max="3330" width="13" style="6" customWidth="1"/>
    <col min="3331" max="3331" width="30.08984375" style="6" customWidth="1"/>
    <col min="3332" max="3332" width="65.90625" style="6" customWidth="1"/>
    <col min="3333" max="3333" width="15.90625" style="6" customWidth="1"/>
    <col min="3334" max="3337" width="0" style="6" hidden="1" customWidth="1"/>
    <col min="3338" max="3338" width="17.1796875" style="6" customWidth="1"/>
    <col min="3339" max="3339" width="11.08984375" style="6" customWidth="1"/>
    <col min="3340" max="3340" width="9.08984375" style="6"/>
    <col min="3341" max="3341" width="12.453125" style="6" customWidth="1"/>
    <col min="3342" max="3584" width="9.08984375" style="6"/>
    <col min="3585" max="3586" width="13" style="6" customWidth="1"/>
    <col min="3587" max="3587" width="30.08984375" style="6" customWidth="1"/>
    <col min="3588" max="3588" width="65.90625" style="6" customWidth="1"/>
    <col min="3589" max="3589" width="15.90625" style="6" customWidth="1"/>
    <col min="3590" max="3593" width="0" style="6" hidden="1" customWidth="1"/>
    <col min="3594" max="3594" width="17.1796875" style="6" customWidth="1"/>
    <col min="3595" max="3595" width="11.08984375" style="6" customWidth="1"/>
    <col min="3596" max="3596" width="9.08984375" style="6"/>
    <col min="3597" max="3597" width="12.453125" style="6" customWidth="1"/>
    <col min="3598" max="3840" width="9.08984375" style="6"/>
    <col min="3841" max="3842" width="13" style="6" customWidth="1"/>
    <col min="3843" max="3843" width="30.08984375" style="6" customWidth="1"/>
    <col min="3844" max="3844" width="65.90625" style="6" customWidth="1"/>
    <col min="3845" max="3845" width="15.90625" style="6" customWidth="1"/>
    <col min="3846" max="3849" width="0" style="6" hidden="1" customWidth="1"/>
    <col min="3850" max="3850" width="17.1796875" style="6" customWidth="1"/>
    <col min="3851" max="3851" width="11.08984375" style="6" customWidth="1"/>
    <col min="3852" max="3852" width="9.08984375" style="6"/>
    <col min="3853" max="3853" width="12.453125" style="6" customWidth="1"/>
    <col min="3854" max="4096" width="9.08984375" style="6"/>
    <col min="4097" max="4098" width="13" style="6" customWidth="1"/>
    <col min="4099" max="4099" width="30.08984375" style="6" customWidth="1"/>
    <col min="4100" max="4100" width="65.90625" style="6" customWidth="1"/>
    <col min="4101" max="4101" width="15.90625" style="6" customWidth="1"/>
    <col min="4102" max="4105" width="0" style="6" hidden="1" customWidth="1"/>
    <col min="4106" max="4106" width="17.1796875" style="6" customWidth="1"/>
    <col min="4107" max="4107" width="11.08984375" style="6" customWidth="1"/>
    <col min="4108" max="4108" width="9.08984375" style="6"/>
    <col min="4109" max="4109" width="12.453125" style="6" customWidth="1"/>
    <col min="4110" max="4352" width="9.08984375" style="6"/>
    <col min="4353" max="4354" width="13" style="6" customWidth="1"/>
    <col min="4355" max="4355" width="30.08984375" style="6" customWidth="1"/>
    <col min="4356" max="4356" width="65.90625" style="6" customWidth="1"/>
    <col min="4357" max="4357" width="15.90625" style="6" customWidth="1"/>
    <col min="4358" max="4361" width="0" style="6" hidden="1" customWidth="1"/>
    <col min="4362" max="4362" width="17.1796875" style="6" customWidth="1"/>
    <col min="4363" max="4363" width="11.08984375" style="6" customWidth="1"/>
    <col min="4364" max="4364" width="9.08984375" style="6"/>
    <col min="4365" max="4365" width="12.453125" style="6" customWidth="1"/>
    <col min="4366" max="4608" width="9.08984375" style="6"/>
    <col min="4609" max="4610" width="13" style="6" customWidth="1"/>
    <col min="4611" max="4611" width="30.08984375" style="6" customWidth="1"/>
    <col min="4612" max="4612" width="65.90625" style="6" customWidth="1"/>
    <col min="4613" max="4613" width="15.90625" style="6" customWidth="1"/>
    <col min="4614" max="4617" width="0" style="6" hidden="1" customWidth="1"/>
    <col min="4618" max="4618" width="17.1796875" style="6" customWidth="1"/>
    <col min="4619" max="4619" width="11.08984375" style="6" customWidth="1"/>
    <col min="4620" max="4620" width="9.08984375" style="6"/>
    <col min="4621" max="4621" width="12.453125" style="6" customWidth="1"/>
    <col min="4622" max="4864" width="9.08984375" style="6"/>
    <col min="4865" max="4866" width="13" style="6" customWidth="1"/>
    <col min="4867" max="4867" width="30.08984375" style="6" customWidth="1"/>
    <col min="4868" max="4868" width="65.90625" style="6" customWidth="1"/>
    <col min="4869" max="4869" width="15.90625" style="6" customWidth="1"/>
    <col min="4870" max="4873" width="0" style="6" hidden="1" customWidth="1"/>
    <col min="4874" max="4874" width="17.1796875" style="6" customWidth="1"/>
    <col min="4875" max="4875" width="11.08984375" style="6" customWidth="1"/>
    <col min="4876" max="4876" width="9.08984375" style="6"/>
    <col min="4877" max="4877" width="12.453125" style="6" customWidth="1"/>
    <col min="4878" max="5120" width="9.08984375" style="6"/>
    <col min="5121" max="5122" width="13" style="6" customWidth="1"/>
    <col min="5123" max="5123" width="30.08984375" style="6" customWidth="1"/>
    <col min="5124" max="5124" width="65.90625" style="6" customWidth="1"/>
    <col min="5125" max="5125" width="15.90625" style="6" customWidth="1"/>
    <col min="5126" max="5129" width="0" style="6" hidden="1" customWidth="1"/>
    <col min="5130" max="5130" width="17.1796875" style="6" customWidth="1"/>
    <col min="5131" max="5131" width="11.08984375" style="6" customWidth="1"/>
    <col min="5132" max="5132" width="9.08984375" style="6"/>
    <col min="5133" max="5133" width="12.453125" style="6" customWidth="1"/>
    <col min="5134" max="5376" width="9.08984375" style="6"/>
    <col min="5377" max="5378" width="13" style="6" customWidth="1"/>
    <col min="5379" max="5379" width="30.08984375" style="6" customWidth="1"/>
    <col min="5380" max="5380" width="65.90625" style="6" customWidth="1"/>
    <col min="5381" max="5381" width="15.90625" style="6" customWidth="1"/>
    <col min="5382" max="5385" width="0" style="6" hidden="1" customWidth="1"/>
    <col min="5386" max="5386" width="17.1796875" style="6" customWidth="1"/>
    <col min="5387" max="5387" width="11.08984375" style="6" customWidth="1"/>
    <col min="5388" max="5388" width="9.08984375" style="6"/>
    <col min="5389" max="5389" width="12.453125" style="6" customWidth="1"/>
    <col min="5390" max="5632" width="9.08984375" style="6"/>
    <col min="5633" max="5634" width="13" style="6" customWidth="1"/>
    <col min="5635" max="5635" width="30.08984375" style="6" customWidth="1"/>
    <col min="5636" max="5636" width="65.90625" style="6" customWidth="1"/>
    <col min="5637" max="5637" width="15.90625" style="6" customWidth="1"/>
    <col min="5638" max="5641" width="0" style="6" hidden="1" customWidth="1"/>
    <col min="5642" max="5642" width="17.1796875" style="6" customWidth="1"/>
    <col min="5643" max="5643" width="11.08984375" style="6" customWidth="1"/>
    <col min="5644" max="5644" width="9.08984375" style="6"/>
    <col min="5645" max="5645" width="12.453125" style="6" customWidth="1"/>
    <col min="5646" max="5888" width="9.08984375" style="6"/>
    <col min="5889" max="5890" width="13" style="6" customWidth="1"/>
    <col min="5891" max="5891" width="30.08984375" style="6" customWidth="1"/>
    <col min="5892" max="5892" width="65.90625" style="6" customWidth="1"/>
    <col min="5893" max="5893" width="15.90625" style="6" customWidth="1"/>
    <col min="5894" max="5897" width="0" style="6" hidden="1" customWidth="1"/>
    <col min="5898" max="5898" width="17.1796875" style="6" customWidth="1"/>
    <col min="5899" max="5899" width="11.08984375" style="6" customWidth="1"/>
    <col min="5900" max="5900" width="9.08984375" style="6"/>
    <col min="5901" max="5901" width="12.453125" style="6" customWidth="1"/>
    <col min="5902" max="6144" width="9.08984375" style="6"/>
    <col min="6145" max="6146" width="13" style="6" customWidth="1"/>
    <col min="6147" max="6147" width="30.08984375" style="6" customWidth="1"/>
    <col min="6148" max="6148" width="65.90625" style="6" customWidth="1"/>
    <col min="6149" max="6149" width="15.90625" style="6" customWidth="1"/>
    <col min="6150" max="6153" width="0" style="6" hidden="1" customWidth="1"/>
    <col min="6154" max="6154" width="17.1796875" style="6" customWidth="1"/>
    <col min="6155" max="6155" width="11.08984375" style="6" customWidth="1"/>
    <col min="6156" max="6156" width="9.08984375" style="6"/>
    <col min="6157" max="6157" width="12.453125" style="6" customWidth="1"/>
    <col min="6158" max="6400" width="9.08984375" style="6"/>
    <col min="6401" max="6402" width="13" style="6" customWidth="1"/>
    <col min="6403" max="6403" width="30.08984375" style="6" customWidth="1"/>
    <col min="6404" max="6404" width="65.90625" style="6" customWidth="1"/>
    <col min="6405" max="6405" width="15.90625" style="6" customWidth="1"/>
    <col min="6406" max="6409" width="0" style="6" hidden="1" customWidth="1"/>
    <col min="6410" max="6410" width="17.1796875" style="6" customWidth="1"/>
    <col min="6411" max="6411" width="11.08984375" style="6" customWidth="1"/>
    <col min="6412" max="6412" width="9.08984375" style="6"/>
    <col min="6413" max="6413" width="12.453125" style="6" customWidth="1"/>
    <col min="6414" max="6656" width="9.08984375" style="6"/>
    <col min="6657" max="6658" width="13" style="6" customWidth="1"/>
    <col min="6659" max="6659" width="30.08984375" style="6" customWidth="1"/>
    <col min="6660" max="6660" width="65.90625" style="6" customWidth="1"/>
    <col min="6661" max="6661" width="15.90625" style="6" customWidth="1"/>
    <col min="6662" max="6665" width="0" style="6" hidden="1" customWidth="1"/>
    <col min="6666" max="6666" width="17.1796875" style="6" customWidth="1"/>
    <col min="6667" max="6667" width="11.08984375" style="6" customWidth="1"/>
    <col min="6668" max="6668" width="9.08984375" style="6"/>
    <col min="6669" max="6669" width="12.453125" style="6" customWidth="1"/>
    <col min="6670" max="6912" width="9.08984375" style="6"/>
    <col min="6913" max="6914" width="13" style="6" customWidth="1"/>
    <col min="6915" max="6915" width="30.08984375" style="6" customWidth="1"/>
    <col min="6916" max="6916" width="65.90625" style="6" customWidth="1"/>
    <col min="6917" max="6917" width="15.90625" style="6" customWidth="1"/>
    <col min="6918" max="6921" width="0" style="6" hidden="1" customWidth="1"/>
    <col min="6922" max="6922" width="17.1796875" style="6" customWidth="1"/>
    <col min="6923" max="6923" width="11.08984375" style="6" customWidth="1"/>
    <col min="6924" max="6924" width="9.08984375" style="6"/>
    <col min="6925" max="6925" width="12.453125" style="6" customWidth="1"/>
    <col min="6926" max="7168" width="9.08984375" style="6"/>
    <col min="7169" max="7170" width="13" style="6" customWidth="1"/>
    <col min="7171" max="7171" width="30.08984375" style="6" customWidth="1"/>
    <col min="7172" max="7172" width="65.90625" style="6" customWidth="1"/>
    <col min="7173" max="7173" width="15.90625" style="6" customWidth="1"/>
    <col min="7174" max="7177" width="0" style="6" hidden="1" customWidth="1"/>
    <col min="7178" max="7178" width="17.1796875" style="6" customWidth="1"/>
    <col min="7179" max="7179" width="11.08984375" style="6" customWidth="1"/>
    <col min="7180" max="7180" width="9.08984375" style="6"/>
    <col min="7181" max="7181" width="12.453125" style="6" customWidth="1"/>
    <col min="7182" max="7424" width="9.08984375" style="6"/>
    <col min="7425" max="7426" width="13" style="6" customWidth="1"/>
    <col min="7427" max="7427" width="30.08984375" style="6" customWidth="1"/>
    <col min="7428" max="7428" width="65.90625" style="6" customWidth="1"/>
    <col min="7429" max="7429" width="15.90625" style="6" customWidth="1"/>
    <col min="7430" max="7433" width="0" style="6" hidden="1" customWidth="1"/>
    <col min="7434" max="7434" width="17.1796875" style="6" customWidth="1"/>
    <col min="7435" max="7435" width="11.08984375" style="6" customWidth="1"/>
    <col min="7436" max="7436" width="9.08984375" style="6"/>
    <col min="7437" max="7437" width="12.453125" style="6" customWidth="1"/>
    <col min="7438" max="7680" width="9.08984375" style="6"/>
    <col min="7681" max="7682" width="13" style="6" customWidth="1"/>
    <col min="7683" max="7683" width="30.08984375" style="6" customWidth="1"/>
    <col min="7684" max="7684" width="65.90625" style="6" customWidth="1"/>
    <col min="7685" max="7685" width="15.90625" style="6" customWidth="1"/>
    <col min="7686" max="7689" width="0" style="6" hidden="1" customWidth="1"/>
    <col min="7690" max="7690" width="17.1796875" style="6" customWidth="1"/>
    <col min="7691" max="7691" width="11.08984375" style="6" customWidth="1"/>
    <col min="7692" max="7692" width="9.08984375" style="6"/>
    <col min="7693" max="7693" width="12.453125" style="6" customWidth="1"/>
    <col min="7694" max="7936" width="9.08984375" style="6"/>
    <col min="7937" max="7938" width="13" style="6" customWidth="1"/>
    <col min="7939" max="7939" width="30.08984375" style="6" customWidth="1"/>
    <col min="7940" max="7940" width="65.90625" style="6" customWidth="1"/>
    <col min="7941" max="7941" width="15.90625" style="6" customWidth="1"/>
    <col min="7942" max="7945" width="0" style="6" hidden="1" customWidth="1"/>
    <col min="7946" max="7946" width="17.1796875" style="6" customWidth="1"/>
    <col min="7947" max="7947" width="11.08984375" style="6" customWidth="1"/>
    <col min="7948" max="7948" width="9.08984375" style="6"/>
    <col min="7949" max="7949" width="12.453125" style="6" customWidth="1"/>
    <col min="7950" max="8192" width="9.08984375" style="6"/>
    <col min="8193" max="8194" width="13" style="6" customWidth="1"/>
    <col min="8195" max="8195" width="30.08984375" style="6" customWidth="1"/>
    <col min="8196" max="8196" width="65.90625" style="6" customWidth="1"/>
    <col min="8197" max="8197" width="15.90625" style="6" customWidth="1"/>
    <col min="8198" max="8201" width="0" style="6" hidden="1" customWidth="1"/>
    <col min="8202" max="8202" width="17.1796875" style="6" customWidth="1"/>
    <col min="8203" max="8203" width="11.08984375" style="6" customWidth="1"/>
    <col min="8204" max="8204" width="9.08984375" style="6"/>
    <col min="8205" max="8205" width="12.453125" style="6" customWidth="1"/>
    <col min="8206" max="8448" width="9.08984375" style="6"/>
    <col min="8449" max="8450" width="13" style="6" customWidth="1"/>
    <col min="8451" max="8451" width="30.08984375" style="6" customWidth="1"/>
    <col min="8452" max="8452" width="65.90625" style="6" customWidth="1"/>
    <col min="8453" max="8453" width="15.90625" style="6" customWidth="1"/>
    <col min="8454" max="8457" width="0" style="6" hidden="1" customWidth="1"/>
    <col min="8458" max="8458" width="17.1796875" style="6" customWidth="1"/>
    <col min="8459" max="8459" width="11.08984375" style="6" customWidth="1"/>
    <col min="8460" max="8460" width="9.08984375" style="6"/>
    <col min="8461" max="8461" width="12.453125" style="6" customWidth="1"/>
    <col min="8462" max="8704" width="9.08984375" style="6"/>
    <col min="8705" max="8706" width="13" style="6" customWidth="1"/>
    <col min="8707" max="8707" width="30.08984375" style="6" customWidth="1"/>
    <col min="8708" max="8708" width="65.90625" style="6" customWidth="1"/>
    <col min="8709" max="8709" width="15.90625" style="6" customWidth="1"/>
    <col min="8710" max="8713" width="0" style="6" hidden="1" customWidth="1"/>
    <col min="8714" max="8714" width="17.1796875" style="6" customWidth="1"/>
    <col min="8715" max="8715" width="11.08984375" style="6" customWidth="1"/>
    <col min="8716" max="8716" width="9.08984375" style="6"/>
    <col min="8717" max="8717" width="12.453125" style="6" customWidth="1"/>
    <col min="8718" max="8960" width="9.08984375" style="6"/>
    <col min="8961" max="8962" width="13" style="6" customWidth="1"/>
    <col min="8963" max="8963" width="30.08984375" style="6" customWidth="1"/>
    <col min="8964" max="8964" width="65.90625" style="6" customWidth="1"/>
    <col min="8965" max="8965" width="15.90625" style="6" customWidth="1"/>
    <col min="8966" max="8969" width="0" style="6" hidden="1" customWidth="1"/>
    <col min="8970" max="8970" width="17.1796875" style="6" customWidth="1"/>
    <col min="8971" max="8971" width="11.08984375" style="6" customWidth="1"/>
    <col min="8972" max="8972" width="9.08984375" style="6"/>
    <col min="8973" max="8973" width="12.453125" style="6" customWidth="1"/>
    <col min="8974" max="9216" width="9.08984375" style="6"/>
    <col min="9217" max="9218" width="13" style="6" customWidth="1"/>
    <col min="9219" max="9219" width="30.08984375" style="6" customWidth="1"/>
    <col min="9220" max="9220" width="65.90625" style="6" customWidth="1"/>
    <col min="9221" max="9221" width="15.90625" style="6" customWidth="1"/>
    <col min="9222" max="9225" width="0" style="6" hidden="1" customWidth="1"/>
    <col min="9226" max="9226" width="17.1796875" style="6" customWidth="1"/>
    <col min="9227" max="9227" width="11.08984375" style="6" customWidth="1"/>
    <col min="9228" max="9228" width="9.08984375" style="6"/>
    <col min="9229" max="9229" width="12.453125" style="6" customWidth="1"/>
    <col min="9230" max="9472" width="9.08984375" style="6"/>
    <col min="9473" max="9474" width="13" style="6" customWidth="1"/>
    <col min="9475" max="9475" width="30.08984375" style="6" customWidth="1"/>
    <col min="9476" max="9476" width="65.90625" style="6" customWidth="1"/>
    <col min="9477" max="9477" width="15.90625" style="6" customWidth="1"/>
    <col min="9478" max="9481" width="0" style="6" hidden="1" customWidth="1"/>
    <col min="9482" max="9482" width="17.1796875" style="6" customWidth="1"/>
    <col min="9483" max="9483" width="11.08984375" style="6" customWidth="1"/>
    <col min="9484" max="9484" width="9.08984375" style="6"/>
    <col min="9485" max="9485" width="12.453125" style="6" customWidth="1"/>
    <col min="9486" max="9728" width="9.08984375" style="6"/>
    <col min="9729" max="9730" width="13" style="6" customWidth="1"/>
    <col min="9731" max="9731" width="30.08984375" style="6" customWidth="1"/>
    <col min="9732" max="9732" width="65.90625" style="6" customWidth="1"/>
    <col min="9733" max="9733" width="15.90625" style="6" customWidth="1"/>
    <col min="9734" max="9737" width="0" style="6" hidden="1" customWidth="1"/>
    <col min="9738" max="9738" width="17.1796875" style="6" customWidth="1"/>
    <col min="9739" max="9739" width="11.08984375" style="6" customWidth="1"/>
    <col min="9740" max="9740" width="9.08984375" style="6"/>
    <col min="9741" max="9741" width="12.453125" style="6" customWidth="1"/>
    <col min="9742" max="9984" width="9.08984375" style="6"/>
    <col min="9985" max="9986" width="13" style="6" customWidth="1"/>
    <col min="9987" max="9987" width="30.08984375" style="6" customWidth="1"/>
    <col min="9988" max="9988" width="65.90625" style="6" customWidth="1"/>
    <col min="9989" max="9989" width="15.90625" style="6" customWidth="1"/>
    <col min="9990" max="9993" width="0" style="6" hidden="1" customWidth="1"/>
    <col min="9994" max="9994" width="17.1796875" style="6" customWidth="1"/>
    <col min="9995" max="9995" width="11.08984375" style="6" customWidth="1"/>
    <col min="9996" max="9996" width="9.08984375" style="6"/>
    <col min="9997" max="9997" width="12.453125" style="6" customWidth="1"/>
    <col min="9998" max="10240" width="9.08984375" style="6"/>
    <col min="10241" max="10242" width="13" style="6" customWidth="1"/>
    <col min="10243" max="10243" width="30.08984375" style="6" customWidth="1"/>
    <col min="10244" max="10244" width="65.90625" style="6" customWidth="1"/>
    <col min="10245" max="10245" width="15.90625" style="6" customWidth="1"/>
    <col min="10246" max="10249" width="0" style="6" hidden="1" customWidth="1"/>
    <col min="10250" max="10250" width="17.1796875" style="6" customWidth="1"/>
    <col min="10251" max="10251" width="11.08984375" style="6" customWidth="1"/>
    <col min="10252" max="10252" width="9.08984375" style="6"/>
    <col min="10253" max="10253" width="12.453125" style="6" customWidth="1"/>
    <col min="10254" max="10496" width="9.08984375" style="6"/>
    <col min="10497" max="10498" width="13" style="6" customWidth="1"/>
    <col min="10499" max="10499" width="30.08984375" style="6" customWidth="1"/>
    <col min="10500" max="10500" width="65.90625" style="6" customWidth="1"/>
    <col min="10501" max="10501" width="15.90625" style="6" customWidth="1"/>
    <col min="10502" max="10505" width="0" style="6" hidden="1" customWidth="1"/>
    <col min="10506" max="10506" width="17.1796875" style="6" customWidth="1"/>
    <col min="10507" max="10507" width="11.08984375" style="6" customWidth="1"/>
    <col min="10508" max="10508" width="9.08984375" style="6"/>
    <col min="10509" max="10509" width="12.453125" style="6" customWidth="1"/>
    <col min="10510" max="10752" width="9.08984375" style="6"/>
    <col min="10753" max="10754" width="13" style="6" customWidth="1"/>
    <col min="10755" max="10755" width="30.08984375" style="6" customWidth="1"/>
    <col min="10756" max="10756" width="65.90625" style="6" customWidth="1"/>
    <col min="10757" max="10757" width="15.90625" style="6" customWidth="1"/>
    <col min="10758" max="10761" width="0" style="6" hidden="1" customWidth="1"/>
    <col min="10762" max="10762" width="17.1796875" style="6" customWidth="1"/>
    <col min="10763" max="10763" width="11.08984375" style="6" customWidth="1"/>
    <col min="10764" max="10764" width="9.08984375" style="6"/>
    <col min="10765" max="10765" width="12.453125" style="6" customWidth="1"/>
    <col min="10766" max="11008" width="9.08984375" style="6"/>
    <col min="11009" max="11010" width="13" style="6" customWidth="1"/>
    <col min="11011" max="11011" width="30.08984375" style="6" customWidth="1"/>
    <col min="11012" max="11012" width="65.90625" style="6" customWidth="1"/>
    <col min="11013" max="11013" width="15.90625" style="6" customWidth="1"/>
    <col min="11014" max="11017" width="0" style="6" hidden="1" customWidth="1"/>
    <col min="11018" max="11018" width="17.1796875" style="6" customWidth="1"/>
    <col min="11019" max="11019" width="11.08984375" style="6" customWidth="1"/>
    <col min="11020" max="11020" width="9.08984375" style="6"/>
    <col min="11021" max="11021" width="12.453125" style="6" customWidth="1"/>
    <col min="11022" max="11264" width="9.08984375" style="6"/>
    <col min="11265" max="11266" width="13" style="6" customWidth="1"/>
    <col min="11267" max="11267" width="30.08984375" style="6" customWidth="1"/>
    <col min="11268" max="11268" width="65.90625" style="6" customWidth="1"/>
    <col min="11269" max="11269" width="15.90625" style="6" customWidth="1"/>
    <col min="11270" max="11273" width="0" style="6" hidden="1" customWidth="1"/>
    <col min="11274" max="11274" width="17.1796875" style="6" customWidth="1"/>
    <col min="11275" max="11275" width="11.08984375" style="6" customWidth="1"/>
    <col min="11276" max="11276" width="9.08984375" style="6"/>
    <col min="11277" max="11277" width="12.453125" style="6" customWidth="1"/>
    <col min="11278" max="11520" width="9.08984375" style="6"/>
    <col min="11521" max="11522" width="13" style="6" customWidth="1"/>
    <col min="11523" max="11523" width="30.08984375" style="6" customWidth="1"/>
    <col min="11524" max="11524" width="65.90625" style="6" customWidth="1"/>
    <col min="11525" max="11525" width="15.90625" style="6" customWidth="1"/>
    <col min="11526" max="11529" width="0" style="6" hidden="1" customWidth="1"/>
    <col min="11530" max="11530" width="17.1796875" style="6" customWidth="1"/>
    <col min="11531" max="11531" width="11.08984375" style="6" customWidth="1"/>
    <col min="11532" max="11532" width="9.08984375" style="6"/>
    <col min="11533" max="11533" width="12.453125" style="6" customWidth="1"/>
    <col min="11534" max="11776" width="9.08984375" style="6"/>
    <col min="11777" max="11778" width="13" style="6" customWidth="1"/>
    <col min="11779" max="11779" width="30.08984375" style="6" customWidth="1"/>
    <col min="11780" max="11780" width="65.90625" style="6" customWidth="1"/>
    <col min="11781" max="11781" width="15.90625" style="6" customWidth="1"/>
    <col min="11782" max="11785" width="0" style="6" hidden="1" customWidth="1"/>
    <col min="11786" max="11786" width="17.1796875" style="6" customWidth="1"/>
    <col min="11787" max="11787" width="11.08984375" style="6" customWidth="1"/>
    <col min="11788" max="11788" width="9.08984375" style="6"/>
    <col min="11789" max="11789" width="12.453125" style="6" customWidth="1"/>
    <col min="11790" max="12032" width="9.08984375" style="6"/>
    <col min="12033" max="12034" width="13" style="6" customWidth="1"/>
    <col min="12035" max="12035" width="30.08984375" style="6" customWidth="1"/>
    <col min="12036" max="12036" width="65.90625" style="6" customWidth="1"/>
    <col min="12037" max="12037" width="15.90625" style="6" customWidth="1"/>
    <col min="12038" max="12041" width="0" style="6" hidden="1" customWidth="1"/>
    <col min="12042" max="12042" width="17.1796875" style="6" customWidth="1"/>
    <col min="12043" max="12043" width="11.08984375" style="6" customWidth="1"/>
    <col min="12044" max="12044" width="9.08984375" style="6"/>
    <col min="12045" max="12045" width="12.453125" style="6" customWidth="1"/>
    <col min="12046" max="12288" width="9.08984375" style="6"/>
    <col min="12289" max="12290" width="13" style="6" customWidth="1"/>
    <col min="12291" max="12291" width="30.08984375" style="6" customWidth="1"/>
    <col min="12292" max="12292" width="65.90625" style="6" customWidth="1"/>
    <col min="12293" max="12293" width="15.90625" style="6" customWidth="1"/>
    <col min="12294" max="12297" width="0" style="6" hidden="1" customWidth="1"/>
    <col min="12298" max="12298" width="17.1796875" style="6" customWidth="1"/>
    <col min="12299" max="12299" width="11.08984375" style="6" customWidth="1"/>
    <col min="12300" max="12300" width="9.08984375" style="6"/>
    <col min="12301" max="12301" width="12.453125" style="6" customWidth="1"/>
    <col min="12302" max="12544" width="9.08984375" style="6"/>
    <col min="12545" max="12546" width="13" style="6" customWidth="1"/>
    <col min="12547" max="12547" width="30.08984375" style="6" customWidth="1"/>
    <col min="12548" max="12548" width="65.90625" style="6" customWidth="1"/>
    <col min="12549" max="12549" width="15.90625" style="6" customWidth="1"/>
    <col min="12550" max="12553" width="0" style="6" hidden="1" customWidth="1"/>
    <col min="12554" max="12554" width="17.1796875" style="6" customWidth="1"/>
    <col min="12555" max="12555" width="11.08984375" style="6" customWidth="1"/>
    <col min="12556" max="12556" width="9.08984375" style="6"/>
    <col min="12557" max="12557" width="12.453125" style="6" customWidth="1"/>
    <col min="12558" max="12800" width="9.08984375" style="6"/>
    <col min="12801" max="12802" width="13" style="6" customWidth="1"/>
    <col min="12803" max="12803" width="30.08984375" style="6" customWidth="1"/>
    <col min="12804" max="12804" width="65.90625" style="6" customWidth="1"/>
    <col min="12805" max="12805" width="15.90625" style="6" customWidth="1"/>
    <col min="12806" max="12809" width="0" style="6" hidden="1" customWidth="1"/>
    <col min="12810" max="12810" width="17.1796875" style="6" customWidth="1"/>
    <col min="12811" max="12811" width="11.08984375" style="6" customWidth="1"/>
    <col min="12812" max="12812" width="9.08984375" style="6"/>
    <col min="12813" max="12813" width="12.453125" style="6" customWidth="1"/>
    <col min="12814" max="13056" width="9.08984375" style="6"/>
    <col min="13057" max="13058" width="13" style="6" customWidth="1"/>
    <col min="13059" max="13059" width="30.08984375" style="6" customWidth="1"/>
    <col min="13060" max="13060" width="65.90625" style="6" customWidth="1"/>
    <col min="13061" max="13061" width="15.90625" style="6" customWidth="1"/>
    <col min="13062" max="13065" width="0" style="6" hidden="1" customWidth="1"/>
    <col min="13066" max="13066" width="17.1796875" style="6" customWidth="1"/>
    <col min="13067" max="13067" width="11.08984375" style="6" customWidth="1"/>
    <col min="13068" max="13068" width="9.08984375" style="6"/>
    <col min="13069" max="13069" width="12.453125" style="6" customWidth="1"/>
    <col min="13070" max="13312" width="9.08984375" style="6"/>
    <col min="13313" max="13314" width="13" style="6" customWidth="1"/>
    <col min="13315" max="13315" width="30.08984375" style="6" customWidth="1"/>
    <col min="13316" max="13316" width="65.90625" style="6" customWidth="1"/>
    <col min="13317" max="13317" width="15.90625" style="6" customWidth="1"/>
    <col min="13318" max="13321" width="0" style="6" hidden="1" customWidth="1"/>
    <col min="13322" max="13322" width="17.1796875" style="6" customWidth="1"/>
    <col min="13323" max="13323" width="11.08984375" style="6" customWidth="1"/>
    <col min="13324" max="13324" width="9.08984375" style="6"/>
    <col min="13325" max="13325" width="12.453125" style="6" customWidth="1"/>
    <col min="13326" max="13568" width="9.08984375" style="6"/>
    <col min="13569" max="13570" width="13" style="6" customWidth="1"/>
    <col min="13571" max="13571" width="30.08984375" style="6" customWidth="1"/>
    <col min="13572" max="13572" width="65.90625" style="6" customWidth="1"/>
    <col min="13573" max="13573" width="15.90625" style="6" customWidth="1"/>
    <col min="13574" max="13577" width="0" style="6" hidden="1" customWidth="1"/>
    <col min="13578" max="13578" width="17.1796875" style="6" customWidth="1"/>
    <col min="13579" max="13579" width="11.08984375" style="6" customWidth="1"/>
    <col min="13580" max="13580" width="9.08984375" style="6"/>
    <col min="13581" max="13581" width="12.453125" style="6" customWidth="1"/>
    <col min="13582" max="13824" width="9.08984375" style="6"/>
    <col min="13825" max="13826" width="13" style="6" customWidth="1"/>
    <col min="13827" max="13827" width="30.08984375" style="6" customWidth="1"/>
    <col min="13828" max="13828" width="65.90625" style="6" customWidth="1"/>
    <col min="13829" max="13829" width="15.90625" style="6" customWidth="1"/>
    <col min="13830" max="13833" width="0" style="6" hidden="1" customWidth="1"/>
    <col min="13834" max="13834" width="17.1796875" style="6" customWidth="1"/>
    <col min="13835" max="13835" width="11.08984375" style="6" customWidth="1"/>
    <col min="13836" max="13836" width="9.08984375" style="6"/>
    <col min="13837" max="13837" width="12.453125" style="6" customWidth="1"/>
    <col min="13838" max="14080" width="9.08984375" style="6"/>
    <col min="14081" max="14082" width="13" style="6" customWidth="1"/>
    <col min="14083" max="14083" width="30.08984375" style="6" customWidth="1"/>
    <col min="14084" max="14084" width="65.90625" style="6" customWidth="1"/>
    <col min="14085" max="14085" width="15.90625" style="6" customWidth="1"/>
    <col min="14086" max="14089" width="0" style="6" hidden="1" customWidth="1"/>
    <col min="14090" max="14090" width="17.1796875" style="6" customWidth="1"/>
    <col min="14091" max="14091" width="11.08984375" style="6" customWidth="1"/>
    <col min="14092" max="14092" width="9.08984375" style="6"/>
    <col min="14093" max="14093" width="12.453125" style="6" customWidth="1"/>
    <col min="14094" max="14336" width="9.08984375" style="6"/>
    <col min="14337" max="14338" width="13" style="6" customWidth="1"/>
    <col min="14339" max="14339" width="30.08984375" style="6" customWidth="1"/>
    <col min="14340" max="14340" width="65.90625" style="6" customWidth="1"/>
    <col min="14341" max="14341" width="15.90625" style="6" customWidth="1"/>
    <col min="14342" max="14345" width="0" style="6" hidden="1" customWidth="1"/>
    <col min="14346" max="14346" width="17.1796875" style="6" customWidth="1"/>
    <col min="14347" max="14347" width="11.08984375" style="6" customWidth="1"/>
    <col min="14348" max="14348" width="9.08984375" style="6"/>
    <col min="14349" max="14349" width="12.453125" style="6" customWidth="1"/>
    <col min="14350" max="14592" width="9.08984375" style="6"/>
    <col min="14593" max="14594" width="13" style="6" customWidth="1"/>
    <col min="14595" max="14595" width="30.08984375" style="6" customWidth="1"/>
    <col min="14596" max="14596" width="65.90625" style="6" customWidth="1"/>
    <col min="14597" max="14597" width="15.90625" style="6" customWidth="1"/>
    <col min="14598" max="14601" width="0" style="6" hidden="1" customWidth="1"/>
    <col min="14602" max="14602" width="17.1796875" style="6" customWidth="1"/>
    <col min="14603" max="14603" width="11.08984375" style="6" customWidth="1"/>
    <col min="14604" max="14604" width="9.08984375" style="6"/>
    <col min="14605" max="14605" width="12.453125" style="6" customWidth="1"/>
    <col min="14606" max="14848" width="9.08984375" style="6"/>
    <col min="14849" max="14850" width="13" style="6" customWidth="1"/>
    <col min="14851" max="14851" width="30.08984375" style="6" customWidth="1"/>
    <col min="14852" max="14852" width="65.90625" style="6" customWidth="1"/>
    <col min="14853" max="14853" width="15.90625" style="6" customWidth="1"/>
    <col min="14854" max="14857" width="0" style="6" hidden="1" customWidth="1"/>
    <col min="14858" max="14858" width="17.1796875" style="6" customWidth="1"/>
    <col min="14859" max="14859" width="11.08984375" style="6" customWidth="1"/>
    <col min="14860" max="14860" width="9.08984375" style="6"/>
    <col min="14861" max="14861" width="12.453125" style="6" customWidth="1"/>
    <col min="14862" max="15104" width="9.08984375" style="6"/>
    <col min="15105" max="15106" width="13" style="6" customWidth="1"/>
    <col min="15107" max="15107" width="30.08984375" style="6" customWidth="1"/>
    <col min="15108" max="15108" width="65.90625" style="6" customWidth="1"/>
    <col min="15109" max="15109" width="15.90625" style="6" customWidth="1"/>
    <col min="15110" max="15113" width="0" style="6" hidden="1" customWidth="1"/>
    <col min="15114" max="15114" width="17.1796875" style="6" customWidth="1"/>
    <col min="15115" max="15115" width="11.08984375" style="6" customWidth="1"/>
    <col min="15116" max="15116" width="9.08984375" style="6"/>
    <col min="15117" max="15117" width="12.453125" style="6" customWidth="1"/>
    <col min="15118" max="15360" width="9.08984375" style="6"/>
    <col min="15361" max="15362" width="13" style="6" customWidth="1"/>
    <col min="15363" max="15363" width="30.08984375" style="6" customWidth="1"/>
    <col min="15364" max="15364" width="65.90625" style="6" customWidth="1"/>
    <col min="15365" max="15365" width="15.90625" style="6" customWidth="1"/>
    <col min="15366" max="15369" width="0" style="6" hidden="1" customWidth="1"/>
    <col min="15370" max="15370" width="17.1796875" style="6" customWidth="1"/>
    <col min="15371" max="15371" width="11.08984375" style="6" customWidth="1"/>
    <col min="15372" max="15372" width="9.08984375" style="6"/>
    <col min="15373" max="15373" width="12.453125" style="6" customWidth="1"/>
    <col min="15374" max="15616" width="9.08984375" style="6"/>
    <col min="15617" max="15618" width="13" style="6" customWidth="1"/>
    <col min="15619" max="15619" width="30.08984375" style="6" customWidth="1"/>
    <col min="15620" max="15620" width="65.90625" style="6" customWidth="1"/>
    <col min="15621" max="15621" width="15.90625" style="6" customWidth="1"/>
    <col min="15622" max="15625" width="0" style="6" hidden="1" customWidth="1"/>
    <col min="15626" max="15626" width="17.1796875" style="6" customWidth="1"/>
    <col min="15627" max="15627" width="11.08984375" style="6" customWidth="1"/>
    <col min="15628" max="15628" width="9.08984375" style="6"/>
    <col min="15629" max="15629" width="12.453125" style="6" customWidth="1"/>
    <col min="15630" max="15872" width="9.08984375" style="6"/>
    <col min="15873" max="15874" width="13" style="6" customWidth="1"/>
    <col min="15875" max="15875" width="30.08984375" style="6" customWidth="1"/>
    <col min="15876" max="15876" width="65.90625" style="6" customWidth="1"/>
    <col min="15877" max="15877" width="15.90625" style="6" customWidth="1"/>
    <col min="15878" max="15881" width="0" style="6" hidden="1" customWidth="1"/>
    <col min="15882" max="15882" width="17.1796875" style="6" customWidth="1"/>
    <col min="15883" max="15883" width="11.08984375" style="6" customWidth="1"/>
    <col min="15884" max="15884" width="9.08984375" style="6"/>
    <col min="15885" max="15885" width="12.453125" style="6" customWidth="1"/>
    <col min="15886" max="16128" width="9.08984375" style="6"/>
    <col min="16129" max="16130" width="13" style="6" customWidth="1"/>
    <col min="16131" max="16131" width="30.08984375" style="6" customWidth="1"/>
    <col min="16132" max="16132" width="65.90625" style="6" customWidth="1"/>
    <col min="16133" max="16133" width="15.90625" style="6" customWidth="1"/>
    <col min="16134" max="16137" width="0" style="6" hidden="1" customWidth="1"/>
    <col min="16138" max="16138" width="17.1796875" style="6" customWidth="1"/>
    <col min="16139" max="16139" width="11.08984375" style="6" customWidth="1"/>
    <col min="16140" max="16140" width="9.08984375" style="6"/>
    <col min="16141" max="16141" width="12.453125" style="6" customWidth="1"/>
    <col min="16142" max="16384" width="9.08984375" style="6"/>
  </cols>
  <sheetData>
    <row r="1" spans="1:14" ht="17.5" x14ac:dyDescent="0.35">
      <c r="D1" s="253" t="s">
        <v>505</v>
      </c>
      <c r="E1" s="253"/>
      <c r="F1" s="142"/>
      <c r="G1" s="10"/>
      <c r="H1" s="260"/>
      <c r="I1" s="143"/>
      <c r="J1" s="10"/>
    </row>
    <row r="2" spans="1:14" ht="18" x14ac:dyDescent="0.4">
      <c r="D2" s="253" t="s">
        <v>502</v>
      </c>
      <c r="E2" s="253"/>
      <c r="F2" s="253"/>
      <c r="G2" s="144"/>
      <c r="H2" s="260"/>
      <c r="I2" s="143"/>
      <c r="J2" s="10"/>
      <c r="M2" s="253"/>
      <c r="N2" s="253"/>
    </row>
    <row r="3" spans="1:14" ht="18" x14ac:dyDescent="0.4">
      <c r="D3" s="253" t="s">
        <v>503</v>
      </c>
      <c r="E3" s="253"/>
      <c r="F3" s="142"/>
      <c r="G3" s="144"/>
      <c r="H3" s="260"/>
      <c r="I3" s="143"/>
      <c r="J3" s="10"/>
      <c r="M3" s="253"/>
      <c r="N3" s="253"/>
    </row>
    <row r="4" spans="1:14" ht="15.5" customHeight="1" x14ac:dyDescent="0.35">
      <c r="D4" s="10"/>
      <c r="E4" s="261" t="s">
        <v>1</v>
      </c>
      <c r="F4" s="262"/>
      <c r="G4" s="261" t="s">
        <v>1</v>
      </c>
      <c r="I4" s="263"/>
      <c r="J4" s="5"/>
      <c r="M4" s="253"/>
      <c r="N4" s="253"/>
    </row>
    <row r="5" spans="1:14" ht="15.5" customHeight="1" x14ac:dyDescent="0.35">
      <c r="D5" s="254" t="s">
        <v>504</v>
      </c>
      <c r="E5" s="254"/>
      <c r="F5" s="254"/>
      <c r="G5" s="5"/>
      <c r="H5" s="11"/>
      <c r="I5" s="11"/>
      <c r="J5" s="5"/>
      <c r="M5" s="10"/>
      <c r="N5" s="142"/>
    </row>
    <row r="6" spans="1:14" ht="17.5" x14ac:dyDescent="0.35">
      <c r="D6" s="256"/>
      <c r="E6" s="256"/>
      <c r="F6" s="256"/>
      <c r="G6" s="145"/>
      <c r="H6" s="263"/>
      <c r="I6" s="263"/>
      <c r="J6" s="145"/>
      <c r="M6" s="10"/>
      <c r="N6" s="261"/>
    </row>
    <row r="7" spans="1:14" ht="17.5" x14ac:dyDescent="0.35">
      <c r="D7" s="146"/>
      <c r="E7" s="16"/>
      <c r="G7" s="145"/>
      <c r="H7" s="263"/>
      <c r="I7" s="263"/>
      <c r="J7" s="145"/>
      <c r="M7" s="257"/>
      <c r="N7" s="257"/>
    </row>
    <row r="8" spans="1:14" ht="15.5" x14ac:dyDescent="0.35">
      <c r="D8" s="146"/>
      <c r="E8" s="16"/>
      <c r="G8" s="145"/>
      <c r="H8" s="263"/>
      <c r="I8" s="263"/>
      <c r="J8" s="145"/>
      <c r="M8" s="146"/>
      <c r="N8" s="16"/>
    </row>
    <row r="9" spans="1:14" ht="21.75" customHeight="1" x14ac:dyDescent="0.35">
      <c r="A9" s="147"/>
      <c r="B9" s="147"/>
      <c r="C9" s="258" t="s">
        <v>506</v>
      </c>
      <c r="D9" s="258"/>
    </row>
    <row r="10" spans="1:14" ht="16.5" customHeight="1" x14ac:dyDescent="0.35">
      <c r="A10" s="147"/>
      <c r="B10" s="147"/>
      <c r="C10" s="258" t="s">
        <v>507</v>
      </c>
      <c r="D10" s="258"/>
      <c r="E10" s="264"/>
      <c r="F10" s="265"/>
    </row>
    <row r="11" spans="1:14" ht="20.25" customHeight="1" thickBot="1" x14ac:dyDescent="0.4">
      <c r="C11" s="259" t="s">
        <v>508</v>
      </c>
      <c r="D11" s="259"/>
      <c r="E11" s="265"/>
      <c r="F11" s="265"/>
      <c r="G11" s="148"/>
    </row>
    <row r="12" spans="1:14" ht="63.75" customHeight="1" thickBot="1" x14ac:dyDescent="0.3">
      <c r="A12" s="149" t="s">
        <v>509</v>
      </c>
      <c r="B12" s="150" t="s">
        <v>510</v>
      </c>
      <c r="C12" s="151" t="s">
        <v>511</v>
      </c>
      <c r="D12" s="151" t="s">
        <v>512</v>
      </c>
      <c r="E12" s="152" t="s">
        <v>513</v>
      </c>
      <c r="F12" s="153" t="s">
        <v>514</v>
      </c>
      <c r="G12" s="154" t="s">
        <v>515</v>
      </c>
      <c r="H12" s="154" t="s">
        <v>516</v>
      </c>
      <c r="I12" s="155" t="s">
        <v>517</v>
      </c>
    </row>
    <row r="13" spans="1:14" ht="14" x14ac:dyDescent="0.3">
      <c r="A13" s="156">
        <v>1</v>
      </c>
      <c r="B13" s="157">
        <v>2</v>
      </c>
      <c r="C13" s="157">
        <v>3</v>
      </c>
      <c r="D13" s="158">
        <v>4</v>
      </c>
      <c r="E13" s="159">
        <v>5</v>
      </c>
      <c r="F13" s="160">
        <v>6</v>
      </c>
      <c r="G13" s="160">
        <v>7</v>
      </c>
      <c r="H13" s="160">
        <v>8</v>
      </c>
      <c r="I13" s="161">
        <v>9</v>
      </c>
      <c r="J13" s="162"/>
      <c r="K13" s="163"/>
      <c r="L13" s="163"/>
    </row>
    <row r="14" spans="1:14" ht="18" x14ac:dyDescent="0.35">
      <c r="A14" s="164"/>
      <c r="B14" s="164"/>
      <c r="C14" s="164"/>
      <c r="D14" s="165" t="s">
        <v>518</v>
      </c>
      <c r="E14" s="166"/>
      <c r="F14" s="167"/>
      <c r="G14" s="167"/>
      <c r="H14" s="167"/>
      <c r="I14" s="168"/>
      <c r="J14" s="72" t="s">
        <v>519</v>
      </c>
      <c r="K14" s="11" t="s">
        <v>520</v>
      </c>
    </row>
    <row r="15" spans="1:14" ht="21" customHeight="1" x14ac:dyDescent="0.35">
      <c r="A15" s="169" t="s">
        <v>521</v>
      </c>
      <c r="B15" s="169" t="s">
        <v>522</v>
      </c>
      <c r="C15" s="170" t="s">
        <v>523</v>
      </c>
      <c r="D15" s="171" t="s">
        <v>524</v>
      </c>
      <c r="E15" s="172">
        <f>E16+E28+E31+E34+E40</f>
        <v>47835.599999999991</v>
      </c>
      <c r="F15" s="173" t="e">
        <f>F16+F28+F31+F34+F40</f>
        <v>#REF!</v>
      </c>
      <c r="G15" s="173" t="e">
        <f>G16+G28+G31+G34+G40</f>
        <v>#REF!</v>
      </c>
      <c r="H15" s="173" t="e">
        <f>H16+H28+H31+H34+H40</f>
        <v>#REF!</v>
      </c>
      <c r="I15" s="173" t="e">
        <f>I16+I28+I31+I34+I40</f>
        <v>#REF!</v>
      </c>
      <c r="J15" s="174">
        <f>'[3]2013г Роспись Спр.13'!E15</f>
        <v>47835.599999999991</v>
      </c>
      <c r="K15" s="175">
        <f>E15-J15</f>
        <v>0</v>
      </c>
      <c r="M15" s="176"/>
    </row>
    <row r="16" spans="1:14" ht="23" customHeight="1" x14ac:dyDescent="0.35">
      <c r="A16" s="177" t="s">
        <v>525</v>
      </c>
      <c r="B16" s="177" t="s">
        <v>522</v>
      </c>
      <c r="C16" s="178" t="s">
        <v>526</v>
      </c>
      <c r="D16" s="179" t="s">
        <v>527</v>
      </c>
      <c r="E16" s="180">
        <f>E17+E25</f>
        <v>28161.199999999997</v>
      </c>
      <c r="F16" s="181">
        <f>F17+F25</f>
        <v>6129.2</v>
      </c>
      <c r="G16" s="181">
        <f>G17+G25</f>
        <v>12929.8</v>
      </c>
      <c r="H16" s="181">
        <f>H17+H25</f>
        <v>9439.2000000000007</v>
      </c>
      <c r="I16" s="181">
        <f>I17+I25</f>
        <v>7263.8</v>
      </c>
      <c r="J16" s="174">
        <f>'[3]2013г Роспись Спр.13'!E16</f>
        <v>28161.199999999997</v>
      </c>
      <c r="K16" s="175">
        <f t="shared" ref="K16:K61" si="0">E16-J16</f>
        <v>0</v>
      </c>
      <c r="M16" s="176"/>
    </row>
    <row r="17" spans="1:13" ht="37.5" customHeight="1" x14ac:dyDescent="0.35">
      <c r="A17" s="182" t="s">
        <v>26</v>
      </c>
      <c r="B17" s="182" t="s">
        <v>528</v>
      </c>
      <c r="C17" s="183" t="s">
        <v>529</v>
      </c>
      <c r="D17" s="184" t="s">
        <v>530</v>
      </c>
      <c r="E17" s="185">
        <f>E18+E21+E24</f>
        <v>21188.1</v>
      </c>
      <c r="F17" s="186">
        <f>F18+F21</f>
        <v>4477.3999999999996</v>
      </c>
      <c r="G17" s="186">
        <f>G18+G21</f>
        <v>10866.9</v>
      </c>
      <c r="H17" s="186">
        <f>H18+H21</f>
        <v>7613.2</v>
      </c>
      <c r="I17" s="186">
        <f>I18+I21</f>
        <v>5650.5</v>
      </c>
      <c r="J17" s="174">
        <f>'[3]2013г Роспись Спр.13'!E17</f>
        <v>21188.1</v>
      </c>
      <c r="K17" s="175">
        <f t="shared" si="0"/>
        <v>0</v>
      </c>
      <c r="M17" s="176"/>
    </row>
    <row r="18" spans="1:13" ht="56.5" customHeight="1" x14ac:dyDescent="0.35">
      <c r="A18" s="187" t="s">
        <v>29</v>
      </c>
      <c r="B18" s="187" t="s">
        <v>528</v>
      </c>
      <c r="C18" s="188" t="s">
        <v>531</v>
      </c>
      <c r="D18" s="189" t="s">
        <v>532</v>
      </c>
      <c r="E18" s="190">
        <f>E19+E20</f>
        <v>15447.3</v>
      </c>
      <c r="F18" s="191">
        <f>F19+F20</f>
        <v>3827.4</v>
      </c>
      <c r="G18" s="191">
        <f>G19+G20</f>
        <v>8856.6</v>
      </c>
      <c r="H18" s="191">
        <f>H19+H20</f>
        <v>5971</v>
      </c>
      <c r="I18" s="191">
        <f>I19+I20</f>
        <v>4977</v>
      </c>
      <c r="J18" s="174">
        <f>'[3]2013г Роспись Спр.13'!E18</f>
        <v>15447.3</v>
      </c>
      <c r="K18" s="175">
        <f t="shared" si="0"/>
        <v>0</v>
      </c>
      <c r="M18" s="176"/>
    </row>
    <row r="19" spans="1:13" ht="50.25" customHeight="1" x14ac:dyDescent="0.35">
      <c r="A19" s="182" t="s">
        <v>32</v>
      </c>
      <c r="B19" s="182" t="s">
        <v>528</v>
      </c>
      <c r="C19" s="183" t="s">
        <v>533</v>
      </c>
      <c r="D19" s="184" t="s">
        <v>532</v>
      </c>
      <c r="E19" s="185">
        <v>15347.3</v>
      </c>
      <c r="F19" s="192">
        <f>3827.4-50</f>
        <v>3777.4</v>
      </c>
      <c r="G19" s="192">
        <f>6772.6+2084</f>
        <v>8856.6</v>
      </c>
      <c r="H19" s="192">
        <f>5100+871</f>
        <v>5971</v>
      </c>
      <c r="I19" s="192">
        <v>4977</v>
      </c>
      <c r="J19" s="174">
        <f>'[3]2013г Роспись Спр.13'!E19</f>
        <v>15347.3</v>
      </c>
      <c r="K19" s="175">
        <f t="shared" si="0"/>
        <v>0</v>
      </c>
      <c r="M19" s="176"/>
    </row>
    <row r="20" spans="1:13" ht="59.25" customHeight="1" x14ac:dyDescent="0.35">
      <c r="A20" s="182" t="s">
        <v>534</v>
      </c>
      <c r="B20" s="182" t="s">
        <v>528</v>
      </c>
      <c r="C20" s="183" t="s">
        <v>535</v>
      </c>
      <c r="D20" s="184" t="s">
        <v>536</v>
      </c>
      <c r="E20" s="185">
        <v>100</v>
      </c>
      <c r="F20" s="192">
        <v>50</v>
      </c>
      <c r="G20" s="192">
        <v>0</v>
      </c>
      <c r="H20" s="192">
        <v>0</v>
      </c>
      <c r="I20" s="192">
        <v>0</v>
      </c>
      <c r="J20" s="174">
        <f>'[3]2013г Роспись Спр.13'!E20</f>
        <v>100</v>
      </c>
      <c r="K20" s="175">
        <f t="shared" si="0"/>
        <v>0</v>
      </c>
      <c r="M20" s="176"/>
    </row>
    <row r="21" spans="1:13" ht="61.5" customHeight="1" x14ac:dyDescent="0.35">
      <c r="A21" s="187" t="s">
        <v>534</v>
      </c>
      <c r="B21" s="187" t="s">
        <v>528</v>
      </c>
      <c r="C21" s="188" t="s">
        <v>537</v>
      </c>
      <c r="D21" s="189" t="s">
        <v>538</v>
      </c>
      <c r="E21" s="190">
        <f>E22+E23</f>
        <v>3629.7000000000003</v>
      </c>
      <c r="F21" s="191">
        <f>F22+F23</f>
        <v>650</v>
      </c>
      <c r="G21" s="191">
        <f>G22+G23</f>
        <v>2010.3</v>
      </c>
      <c r="H21" s="191">
        <f>H22+H23</f>
        <v>1642.2</v>
      </c>
      <c r="I21" s="191">
        <f>I22+I23</f>
        <v>673.5</v>
      </c>
      <c r="J21" s="174">
        <f>'[3]2013г Роспись Спр.13'!E21</f>
        <v>3629.7000000000003</v>
      </c>
      <c r="K21" s="175">
        <f t="shared" si="0"/>
        <v>0</v>
      </c>
      <c r="M21" s="176"/>
    </row>
    <row r="22" spans="1:13" ht="57.5" customHeight="1" x14ac:dyDescent="0.35">
      <c r="A22" s="182" t="s">
        <v>539</v>
      </c>
      <c r="B22" s="182" t="s">
        <v>528</v>
      </c>
      <c r="C22" s="183" t="s">
        <v>540</v>
      </c>
      <c r="D22" s="184" t="s">
        <v>538</v>
      </c>
      <c r="E22" s="193">
        <f>3492.9+36.8</f>
        <v>3529.7000000000003</v>
      </c>
      <c r="F22" s="194">
        <f>650-100</f>
        <v>550</v>
      </c>
      <c r="G22" s="194">
        <v>2010.3</v>
      </c>
      <c r="H22" s="194">
        <v>1642.2</v>
      </c>
      <c r="I22" s="194">
        <v>673.5</v>
      </c>
      <c r="J22" s="174">
        <f>'[3]2013г Роспись Спр.13'!E22</f>
        <v>3529.7000000000003</v>
      </c>
      <c r="K22" s="175">
        <f t="shared" si="0"/>
        <v>0</v>
      </c>
      <c r="M22" s="176"/>
    </row>
    <row r="23" spans="1:13" ht="67.5" customHeight="1" x14ac:dyDescent="0.35">
      <c r="A23" s="182" t="s">
        <v>541</v>
      </c>
      <c r="B23" s="182" t="s">
        <v>528</v>
      </c>
      <c r="C23" s="183" t="s">
        <v>542</v>
      </c>
      <c r="D23" s="184" t="s">
        <v>543</v>
      </c>
      <c r="E23" s="185">
        <v>100</v>
      </c>
      <c r="F23" s="192">
        <v>100</v>
      </c>
      <c r="G23" s="192">
        <v>0</v>
      </c>
      <c r="H23" s="192">
        <v>0</v>
      </c>
      <c r="I23" s="192">
        <v>0</v>
      </c>
      <c r="J23" s="174">
        <f>'[3]2013г Роспись Спр.13'!E23</f>
        <v>100</v>
      </c>
      <c r="K23" s="175">
        <f t="shared" si="0"/>
        <v>0</v>
      </c>
      <c r="M23" s="176"/>
    </row>
    <row r="24" spans="1:13" ht="40.5" customHeight="1" x14ac:dyDescent="0.35">
      <c r="A24" s="187" t="s">
        <v>544</v>
      </c>
      <c r="B24" s="187" t="s">
        <v>528</v>
      </c>
      <c r="C24" s="188" t="s">
        <v>545</v>
      </c>
      <c r="D24" s="189" t="s">
        <v>546</v>
      </c>
      <c r="E24" s="190">
        <v>2111.1</v>
      </c>
      <c r="F24" s="192"/>
      <c r="G24" s="192"/>
      <c r="H24" s="192"/>
      <c r="I24" s="192"/>
      <c r="J24" s="174">
        <f>'[3]2013г Роспись Спр.13'!E24</f>
        <v>2111.1</v>
      </c>
      <c r="K24" s="175">
        <f t="shared" si="0"/>
        <v>0</v>
      </c>
      <c r="M24" s="176"/>
    </row>
    <row r="25" spans="1:13" ht="34.5" customHeight="1" x14ac:dyDescent="0.35">
      <c r="A25" s="187" t="s">
        <v>423</v>
      </c>
      <c r="B25" s="187" t="s">
        <v>528</v>
      </c>
      <c r="C25" s="188" t="s">
        <v>547</v>
      </c>
      <c r="D25" s="189" t="s">
        <v>548</v>
      </c>
      <c r="E25" s="190">
        <f>E26+E27</f>
        <v>6973.0999999999995</v>
      </c>
      <c r="F25" s="191">
        <f>F26+F27</f>
        <v>1651.8</v>
      </c>
      <c r="G25" s="191">
        <f>G26+G27</f>
        <v>2062.9</v>
      </c>
      <c r="H25" s="191">
        <f>H26+H27</f>
        <v>1826</v>
      </c>
      <c r="I25" s="191">
        <f>I26+I27</f>
        <v>1613.3</v>
      </c>
      <c r="J25" s="174">
        <f>'[3]2013г Роспись Спр.13'!E25</f>
        <v>6973.0999999999995</v>
      </c>
      <c r="K25" s="175">
        <f t="shared" si="0"/>
        <v>0</v>
      </c>
      <c r="M25" s="176"/>
    </row>
    <row r="26" spans="1:13" ht="39.75" customHeight="1" x14ac:dyDescent="0.35">
      <c r="A26" s="195" t="s">
        <v>131</v>
      </c>
      <c r="B26" s="195" t="s">
        <v>528</v>
      </c>
      <c r="C26" s="196" t="s">
        <v>549</v>
      </c>
      <c r="D26" s="197" t="s">
        <v>550</v>
      </c>
      <c r="E26" s="193">
        <v>6900.2</v>
      </c>
      <c r="F26" s="198">
        <f>950+111.8-50+590</f>
        <v>1601.8</v>
      </c>
      <c r="G26" s="198">
        <f>2100-37.1</f>
        <v>2062.9</v>
      </c>
      <c r="H26" s="198">
        <f>1834-8</f>
        <v>1826</v>
      </c>
      <c r="I26" s="198">
        <f>900-66.7+780</f>
        <v>1613.3</v>
      </c>
      <c r="J26" s="174">
        <f>'[3]2013г Роспись Спр.13'!E26</f>
        <v>6900.2</v>
      </c>
      <c r="K26" s="175">
        <f t="shared" si="0"/>
        <v>0</v>
      </c>
      <c r="M26" s="176"/>
    </row>
    <row r="27" spans="1:13" ht="59.25" customHeight="1" x14ac:dyDescent="0.35">
      <c r="A27" s="199" t="s">
        <v>429</v>
      </c>
      <c r="B27" s="199" t="s">
        <v>528</v>
      </c>
      <c r="C27" s="196" t="s">
        <v>551</v>
      </c>
      <c r="D27" s="197" t="s">
        <v>552</v>
      </c>
      <c r="E27" s="200">
        <v>72.900000000000006</v>
      </c>
      <c r="F27" s="201">
        <v>50</v>
      </c>
      <c r="G27" s="201">
        <v>0</v>
      </c>
      <c r="H27" s="201">
        <v>0</v>
      </c>
      <c r="I27" s="201">
        <v>0</v>
      </c>
      <c r="J27" s="174">
        <f>'[3]2013г Роспись Спр.13'!E27</f>
        <v>72.900000000000006</v>
      </c>
      <c r="K27" s="175">
        <f t="shared" si="0"/>
        <v>0</v>
      </c>
      <c r="M27" s="176"/>
    </row>
    <row r="28" spans="1:13" s="202" customFormat="1" ht="22" customHeight="1" x14ac:dyDescent="0.35">
      <c r="A28" s="177" t="s">
        <v>44</v>
      </c>
      <c r="B28" s="177" t="s">
        <v>522</v>
      </c>
      <c r="C28" s="178" t="s">
        <v>553</v>
      </c>
      <c r="D28" s="179" t="s">
        <v>554</v>
      </c>
      <c r="E28" s="180">
        <f t="shared" ref="E28:I29" si="1">E29</f>
        <v>15982.599999999999</v>
      </c>
      <c r="F28" s="181">
        <f t="shared" si="1"/>
        <v>300</v>
      </c>
      <c r="G28" s="181">
        <f t="shared" si="1"/>
        <v>1548</v>
      </c>
      <c r="H28" s="181">
        <f t="shared" si="1"/>
        <v>50</v>
      </c>
      <c r="I28" s="181">
        <f t="shared" si="1"/>
        <v>0</v>
      </c>
      <c r="J28" s="174">
        <f>'[3]2013г Роспись Спр.13'!E28</f>
        <v>15982.6</v>
      </c>
      <c r="K28" s="175">
        <f t="shared" si="0"/>
        <v>0</v>
      </c>
      <c r="L28" s="6"/>
      <c r="M28" s="176"/>
    </row>
    <row r="29" spans="1:13" ht="18.75" customHeight="1" x14ac:dyDescent="0.35">
      <c r="A29" s="182" t="s">
        <v>47</v>
      </c>
      <c r="B29" s="182" t="s">
        <v>528</v>
      </c>
      <c r="C29" s="183" t="s">
        <v>555</v>
      </c>
      <c r="D29" s="184" t="s">
        <v>556</v>
      </c>
      <c r="E29" s="185">
        <f t="shared" si="1"/>
        <v>15982.599999999999</v>
      </c>
      <c r="F29" s="186">
        <f t="shared" si="1"/>
        <v>300</v>
      </c>
      <c r="G29" s="186">
        <f t="shared" si="1"/>
        <v>1548</v>
      </c>
      <c r="H29" s="186">
        <f t="shared" si="1"/>
        <v>50</v>
      </c>
      <c r="I29" s="186">
        <f t="shared" si="1"/>
        <v>0</v>
      </c>
      <c r="J29" s="174">
        <f>'[3]2013г Роспись Спр.13'!E29</f>
        <v>15982.6</v>
      </c>
      <c r="K29" s="175">
        <f t="shared" si="0"/>
        <v>0</v>
      </c>
      <c r="M29" s="176"/>
    </row>
    <row r="30" spans="1:13" ht="90.5" customHeight="1" x14ac:dyDescent="0.35">
      <c r="A30" s="182" t="s">
        <v>50</v>
      </c>
      <c r="B30" s="182" t="s">
        <v>528</v>
      </c>
      <c r="C30" s="183" t="s">
        <v>557</v>
      </c>
      <c r="D30" s="184" t="s">
        <v>558</v>
      </c>
      <c r="E30" s="185">
        <f>16472.6-280-396.8-210+396.8</f>
        <v>15982.599999999999</v>
      </c>
      <c r="F30" s="203">
        <f>200+100</f>
        <v>300</v>
      </c>
      <c r="G30" s="203">
        <f>1648-100</f>
        <v>1548</v>
      </c>
      <c r="H30" s="203">
        <v>50</v>
      </c>
      <c r="I30" s="203">
        <v>0</v>
      </c>
      <c r="J30" s="174">
        <f>'[3]2013г Роспись Спр.13'!E30</f>
        <v>15982.6</v>
      </c>
      <c r="K30" s="175">
        <f t="shared" si="0"/>
        <v>0</v>
      </c>
      <c r="M30" s="176"/>
    </row>
    <row r="31" spans="1:13" s="202" customFormat="1" ht="63" customHeight="1" x14ac:dyDescent="0.35">
      <c r="A31" s="177" t="s">
        <v>108</v>
      </c>
      <c r="B31" s="177" t="s">
        <v>522</v>
      </c>
      <c r="C31" s="178" t="s">
        <v>559</v>
      </c>
      <c r="D31" s="179" t="s">
        <v>560</v>
      </c>
      <c r="E31" s="180">
        <f>E32</f>
        <v>6.2</v>
      </c>
      <c r="F31" s="181">
        <f>F32</f>
        <v>0</v>
      </c>
      <c r="G31" s="181">
        <f>G32</f>
        <v>0</v>
      </c>
      <c r="H31" s="181">
        <f>H32</f>
        <v>0</v>
      </c>
      <c r="I31" s="181">
        <f>I32</f>
        <v>5</v>
      </c>
      <c r="J31" s="174">
        <f>'[3]2013г Роспись Спр.13'!E31</f>
        <v>6.2</v>
      </c>
      <c r="K31" s="175">
        <f t="shared" si="0"/>
        <v>0</v>
      </c>
      <c r="L31" s="6"/>
      <c r="M31" s="176"/>
    </row>
    <row r="32" spans="1:13" s="202" customFormat="1" ht="23.25" customHeight="1" x14ac:dyDescent="0.35">
      <c r="A32" s="204" t="s">
        <v>561</v>
      </c>
      <c r="B32" s="204" t="s">
        <v>522</v>
      </c>
      <c r="C32" s="196" t="s">
        <v>562</v>
      </c>
      <c r="D32" s="197" t="s">
        <v>563</v>
      </c>
      <c r="E32" s="205">
        <f>SUM(E33)</f>
        <v>6.2</v>
      </c>
      <c r="F32" s="206">
        <f>SUM(F33)</f>
        <v>0</v>
      </c>
      <c r="G32" s="206">
        <f>SUM(G33)</f>
        <v>0</v>
      </c>
      <c r="H32" s="206">
        <f>SUM(H33)</f>
        <v>0</v>
      </c>
      <c r="I32" s="206">
        <f>SUM(I33)</f>
        <v>5</v>
      </c>
      <c r="J32" s="174">
        <f>'[3]2013г Роспись Спр.13'!E32</f>
        <v>6.2</v>
      </c>
      <c r="K32" s="175">
        <f t="shared" si="0"/>
        <v>0</v>
      </c>
      <c r="L32" s="6"/>
      <c r="M32" s="176"/>
    </row>
    <row r="33" spans="1:13" s="202" customFormat="1" ht="39" customHeight="1" x14ac:dyDescent="0.35">
      <c r="A33" s="182" t="s">
        <v>114</v>
      </c>
      <c r="B33" s="182" t="s">
        <v>528</v>
      </c>
      <c r="C33" s="183" t="s">
        <v>564</v>
      </c>
      <c r="D33" s="184" t="s">
        <v>565</v>
      </c>
      <c r="E33" s="185">
        <v>6.2</v>
      </c>
      <c r="F33" s="206">
        <v>0</v>
      </c>
      <c r="G33" s="206">
        <v>0</v>
      </c>
      <c r="H33" s="206">
        <v>0</v>
      </c>
      <c r="I33" s="206">
        <v>5</v>
      </c>
      <c r="J33" s="174">
        <f>'[3]2013г Роспись Спр.13'!E33</f>
        <v>6.2</v>
      </c>
      <c r="K33" s="175">
        <f t="shared" si="0"/>
        <v>0</v>
      </c>
      <c r="L33" s="6"/>
      <c r="M33" s="176"/>
    </row>
    <row r="34" spans="1:13" s="202" customFormat="1" ht="56.5" customHeight="1" x14ac:dyDescent="0.35">
      <c r="A34" s="177" t="s">
        <v>566</v>
      </c>
      <c r="B34" s="177" t="s">
        <v>522</v>
      </c>
      <c r="C34" s="178" t="s">
        <v>567</v>
      </c>
      <c r="D34" s="179" t="s">
        <v>568</v>
      </c>
      <c r="E34" s="180">
        <f>E35+E37</f>
        <v>50</v>
      </c>
      <c r="F34" s="181" t="e">
        <f>#REF!</f>
        <v>#REF!</v>
      </c>
      <c r="G34" s="181" t="e">
        <f>#REF!</f>
        <v>#REF!</v>
      </c>
      <c r="H34" s="181" t="e">
        <f>#REF!</f>
        <v>#REF!</v>
      </c>
      <c r="I34" s="181" t="e">
        <f>#REF!</f>
        <v>#REF!</v>
      </c>
      <c r="J34" s="174">
        <f>'[3]2013г Роспись Спр.13'!E34</f>
        <v>50</v>
      </c>
      <c r="K34" s="175">
        <f t="shared" si="0"/>
        <v>0</v>
      </c>
      <c r="L34" s="6"/>
      <c r="M34" s="176"/>
    </row>
    <row r="35" spans="1:13" s="202" customFormat="1" ht="29" customHeight="1" x14ac:dyDescent="0.35">
      <c r="A35" s="207" t="s">
        <v>569</v>
      </c>
      <c r="B35" s="207" t="s">
        <v>522</v>
      </c>
      <c r="C35" s="208" t="s">
        <v>570</v>
      </c>
      <c r="D35" s="209" t="s">
        <v>571</v>
      </c>
      <c r="E35" s="210">
        <f>E36</f>
        <v>30</v>
      </c>
      <c r="F35" s="181"/>
      <c r="G35" s="181"/>
      <c r="H35" s="181"/>
      <c r="I35" s="181"/>
      <c r="J35" s="174">
        <f>'[3]2013г Роспись Спр.13'!E35</f>
        <v>30</v>
      </c>
      <c r="K35" s="175">
        <f t="shared" si="0"/>
        <v>0</v>
      </c>
      <c r="L35" s="6"/>
      <c r="M35" s="176"/>
    </row>
    <row r="36" spans="1:13" s="202" customFormat="1" ht="87" customHeight="1" x14ac:dyDescent="0.35">
      <c r="A36" s="182" t="s">
        <v>572</v>
      </c>
      <c r="B36" s="182" t="s">
        <v>119</v>
      </c>
      <c r="C36" s="183" t="s">
        <v>573</v>
      </c>
      <c r="D36" s="184" t="s">
        <v>574</v>
      </c>
      <c r="E36" s="185">
        <v>30</v>
      </c>
      <c r="F36" s="186" t="e">
        <f>F39+#REF!</f>
        <v>#REF!</v>
      </c>
      <c r="G36" s="186" t="e">
        <f>G39+#REF!</f>
        <v>#REF!</v>
      </c>
      <c r="H36" s="186" t="e">
        <f>H39+#REF!</f>
        <v>#REF!</v>
      </c>
      <c r="I36" s="186" t="e">
        <f>I39+#REF!</f>
        <v>#REF!</v>
      </c>
      <c r="J36" s="174">
        <f>'[3]2013г Роспись Спр.13'!E36</f>
        <v>30</v>
      </c>
      <c r="K36" s="175">
        <f t="shared" si="0"/>
        <v>0</v>
      </c>
      <c r="L36" s="6"/>
      <c r="M36" s="176"/>
    </row>
    <row r="37" spans="1:13" s="202" customFormat="1" ht="29" customHeight="1" x14ac:dyDescent="0.35">
      <c r="A37" s="211" t="s">
        <v>575</v>
      </c>
      <c r="B37" s="211" t="s">
        <v>522</v>
      </c>
      <c r="C37" s="212" t="s">
        <v>576</v>
      </c>
      <c r="D37" s="213" t="s">
        <v>577</v>
      </c>
      <c r="E37" s="214">
        <f>E38</f>
        <v>20</v>
      </c>
      <c r="F37" s="186"/>
      <c r="G37" s="186"/>
      <c r="H37" s="186"/>
      <c r="I37" s="186"/>
      <c r="J37" s="174">
        <f>'[3]2013г Роспись Спр.13'!E37</f>
        <v>20</v>
      </c>
      <c r="K37" s="175">
        <f t="shared" si="0"/>
        <v>0</v>
      </c>
      <c r="L37" s="6"/>
      <c r="M37" s="176"/>
    </row>
    <row r="38" spans="1:13" s="202" customFormat="1" ht="25.5" customHeight="1" x14ac:dyDescent="0.35">
      <c r="A38" s="211" t="s">
        <v>578</v>
      </c>
      <c r="B38" s="211" t="s">
        <v>522</v>
      </c>
      <c r="C38" s="212" t="s">
        <v>579</v>
      </c>
      <c r="D38" s="213" t="s">
        <v>580</v>
      </c>
      <c r="E38" s="214">
        <f>E39</f>
        <v>20</v>
      </c>
      <c r="F38" s="186"/>
      <c r="G38" s="186"/>
      <c r="H38" s="186"/>
      <c r="I38" s="186"/>
      <c r="J38" s="174">
        <f>'[3]2013г Роспись Спр.13'!E38</f>
        <v>20</v>
      </c>
      <c r="K38" s="175">
        <f t="shared" si="0"/>
        <v>0</v>
      </c>
      <c r="L38" s="6"/>
      <c r="M38" s="176"/>
    </row>
    <row r="39" spans="1:13" s="202" customFormat="1" ht="108.5" customHeight="1" x14ac:dyDescent="0.4">
      <c r="A39" s="182" t="s">
        <v>581</v>
      </c>
      <c r="B39" s="182" t="s">
        <v>582</v>
      </c>
      <c r="C39" s="183" t="s">
        <v>583</v>
      </c>
      <c r="D39" s="215" t="s">
        <v>584</v>
      </c>
      <c r="E39" s="185">
        <v>20</v>
      </c>
      <c r="F39" s="206">
        <v>0</v>
      </c>
      <c r="G39" s="206">
        <v>0</v>
      </c>
      <c r="H39" s="206">
        <v>0</v>
      </c>
      <c r="I39" s="206">
        <v>20</v>
      </c>
      <c r="J39" s="174">
        <f>'[3]2013г Роспись Спр.13'!E39</f>
        <v>20</v>
      </c>
      <c r="K39" s="175">
        <f t="shared" si="0"/>
        <v>0</v>
      </c>
      <c r="L39" s="6"/>
      <c r="M39" s="176"/>
    </row>
    <row r="40" spans="1:13" ht="32.25" customHeight="1" x14ac:dyDescent="0.35">
      <c r="A40" s="177" t="s">
        <v>585</v>
      </c>
      <c r="B40" s="177" t="s">
        <v>522</v>
      </c>
      <c r="C40" s="216" t="s">
        <v>586</v>
      </c>
      <c r="D40" s="179" t="s">
        <v>587</v>
      </c>
      <c r="E40" s="180">
        <f>E41+E42+E44</f>
        <v>3635.6000000000004</v>
      </c>
      <c r="F40" s="181">
        <f>F41+F44</f>
        <v>721.3</v>
      </c>
      <c r="G40" s="181">
        <f>G41+G44</f>
        <v>2770.6</v>
      </c>
      <c r="H40" s="181">
        <f>H41+H44</f>
        <v>1543.4</v>
      </c>
      <c r="I40" s="181">
        <f>I41+I44</f>
        <v>300</v>
      </c>
      <c r="J40" s="174">
        <f>'[3]2013г Роспись Спр.13'!E40</f>
        <v>3635.6000000000004</v>
      </c>
      <c r="K40" s="175">
        <f t="shared" si="0"/>
        <v>0</v>
      </c>
      <c r="M40" s="176"/>
    </row>
    <row r="41" spans="1:13" ht="89" customHeight="1" x14ac:dyDescent="0.35">
      <c r="A41" s="182" t="s">
        <v>588</v>
      </c>
      <c r="B41" s="182" t="s">
        <v>528</v>
      </c>
      <c r="C41" s="217" t="s">
        <v>589</v>
      </c>
      <c r="D41" s="184" t="s">
        <v>590</v>
      </c>
      <c r="E41" s="185">
        <v>194.7</v>
      </c>
      <c r="F41" s="218">
        <v>71.3</v>
      </c>
      <c r="G41" s="218">
        <v>100</v>
      </c>
      <c r="H41" s="218">
        <v>150</v>
      </c>
      <c r="I41" s="218">
        <v>100</v>
      </c>
      <c r="J41" s="174">
        <f>'[3]2013г Роспись Спр.13'!E41</f>
        <v>194.7</v>
      </c>
      <c r="K41" s="175">
        <f t="shared" si="0"/>
        <v>0</v>
      </c>
      <c r="M41" s="176"/>
    </row>
    <row r="42" spans="1:13" ht="59.5" customHeight="1" x14ac:dyDescent="0.35">
      <c r="A42" s="211" t="s">
        <v>591</v>
      </c>
      <c r="B42" s="211" t="s">
        <v>522</v>
      </c>
      <c r="C42" s="219" t="s">
        <v>592</v>
      </c>
      <c r="D42" s="213" t="s">
        <v>593</v>
      </c>
      <c r="E42" s="214">
        <f>E43</f>
        <v>500</v>
      </c>
      <c r="F42" s="218"/>
      <c r="G42" s="218"/>
      <c r="H42" s="218"/>
      <c r="I42" s="218"/>
      <c r="J42" s="174">
        <f>'[3]2013г Роспись Спр.13'!E42</f>
        <v>500</v>
      </c>
      <c r="K42" s="175">
        <f t="shared" si="0"/>
        <v>0</v>
      </c>
      <c r="M42" s="176"/>
    </row>
    <row r="43" spans="1:13" ht="118" customHeight="1" x14ac:dyDescent="0.35">
      <c r="A43" s="182" t="s">
        <v>594</v>
      </c>
      <c r="B43" s="182" t="s">
        <v>595</v>
      </c>
      <c r="C43" s="217" t="s">
        <v>596</v>
      </c>
      <c r="D43" s="184" t="s">
        <v>597</v>
      </c>
      <c r="E43" s="185">
        <f>10+170+110+210</f>
        <v>500</v>
      </c>
      <c r="F43" s="218"/>
      <c r="G43" s="218"/>
      <c r="H43" s="218"/>
      <c r="I43" s="218"/>
      <c r="J43" s="174">
        <f>'[3]2013г Роспись Спр.13'!E43</f>
        <v>500</v>
      </c>
      <c r="K43" s="175">
        <f t="shared" si="0"/>
        <v>0</v>
      </c>
      <c r="M43" s="176"/>
    </row>
    <row r="44" spans="1:13" ht="36" customHeight="1" x14ac:dyDescent="0.35">
      <c r="A44" s="211" t="s">
        <v>598</v>
      </c>
      <c r="B44" s="211" t="s">
        <v>522</v>
      </c>
      <c r="C44" s="219" t="s">
        <v>599</v>
      </c>
      <c r="D44" s="213" t="s">
        <v>600</v>
      </c>
      <c r="E44" s="214">
        <f>SUM(E45)</f>
        <v>2940.9</v>
      </c>
      <c r="F44" s="220">
        <f>SUM(F45)</f>
        <v>650</v>
      </c>
      <c r="G44" s="220">
        <f>SUM(G45)</f>
        <v>2670.6</v>
      </c>
      <c r="H44" s="220">
        <f>SUM(H45)</f>
        <v>1393.4</v>
      </c>
      <c r="I44" s="220">
        <f>SUM(I45)</f>
        <v>200</v>
      </c>
      <c r="J44" s="174">
        <f>'[3]2013г Роспись Спр.13'!E44</f>
        <v>2940.9</v>
      </c>
      <c r="K44" s="175">
        <f t="shared" si="0"/>
        <v>0</v>
      </c>
      <c r="M44" s="176"/>
    </row>
    <row r="45" spans="1:13" ht="80.5" customHeight="1" x14ac:dyDescent="0.35">
      <c r="A45" s="182" t="s">
        <v>601</v>
      </c>
      <c r="B45" s="182" t="s">
        <v>522</v>
      </c>
      <c r="C45" s="221" t="s">
        <v>602</v>
      </c>
      <c r="D45" s="184" t="s">
        <v>603</v>
      </c>
      <c r="E45" s="185">
        <f>SUM(E46+E47)</f>
        <v>2940.9</v>
      </c>
      <c r="F45" s="218">
        <f>SUM(F46+F47)</f>
        <v>650</v>
      </c>
      <c r="G45" s="218">
        <f>SUM(G46+G47)</f>
        <v>2670.6</v>
      </c>
      <c r="H45" s="218">
        <f>SUM(H46+H47)</f>
        <v>1393.4</v>
      </c>
      <c r="I45" s="218">
        <f>SUM(I46+I47)</f>
        <v>200</v>
      </c>
      <c r="J45" s="174">
        <f>'[3]2013г Роспись Спр.13'!E45</f>
        <v>2940.9</v>
      </c>
      <c r="K45" s="175">
        <f t="shared" si="0"/>
        <v>0</v>
      </c>
      <c r="M45" s="176"/>
    </row>
    <row r="46" spans="1:13" ht="82.5" customHeight="1" x14ac:dyDescent="0.35">
      <c r="A46" s="182" t="s">
        <v>604</v>
      </c>
      <c r="B46" s="182" t="s">
        <v>605</v>
      </c>
      <c r="C46" s="217" t="s">
        <v>606</v>
      </c>
      <c r="D46" s="184" t="s">
        <v>607</v>
      </c>
      <c r="E46" s="185">
        <v>2908.1</v>
      </c>
      <c r="F46" s="218">
        <v>650</v>
      </c>
      <c r="G46" s="218">
        <v>2669.6</v>
      </c>
      <c r="H46" s="218">
        <v>1393.4</v>
      </c>
      <c r="I46" s="218">
        <v>200</v>
      </c>
      <c r="J46" s="174">
        <f>'[3]2013г Роспись Спр.13'!E46</f>
        <v>2908.1</v>
      </c>
      <c r="K46" s="175">
        <f t="shared" si="0"/>
        <v>0</v>
      </c>
      <c r="M46" s="176"/>
    </row>
    <row r="47" spans="1:13" ht="92.5" customHeight="1" x14ac:dyDescent="0.35">
      <c r="A47" s="182" t="s">
        <v>604</v>
      </c>
      <c r="B47" s="182" t="s">
        <v>608</v>
      </c>
      <c r="C47" s="217" t="s">
        <v>609</v>
      </c>
      <c r="D47" s="184" t="s">
        <v>610</v>
      </c>
      <c r="E47" s="185">
        <v>32.799999999999997</v>
      </c>
      <c r="F47" s="218">
        <v>0</v>
      </c>
      <c r="G47" s="218">
        <v>1</v>
      </c>
      <c r="H47" s="218">
        <v>0</v>
      </c>
      <c r="I47" s="218">
        <v>0</v>
      </c>
      <c r="J47" s="174">
        <f>'[3]2013г Роспись Спр.13'!E47</f>
        <v>32.799999999999997</v>
      </c>
      <c r="K47" s="175">
        <f t="shared" si="0"/>
        <v>0</v>
      </c>
      <c r="M47" s="176"/>
    </row>
    <row r="48" spans="1:13" ht="28.5" customHeight="1" x14ac:dyDescent="0.35">
      <c r="A48" s="177" t="s">
        <v>611</v>
      </c>
      <c r="B48" s="177" t="s">
        <v>522</v>
      </c>
      <c r="C48" s="216" t="s">
        <v>612</v>
      </c>
      <c r="D48" s="179" t="s">
        <v>613</v>
      </c>
      <c r="E48" s="180">
        <f t="shared" ref="E48:I49" si="2">E49</f>
        <v>6832.8000000000011</v>
      </c>
      <c r="F48" s="181">
        <f t="shared" si="2"/>
        <v>1326.3999999999999</v>
      </c>
      <c r="G48" s="181">
        <f t="shared" si="2"/>
        <v>1435.1</v>
      </c>
      <c r="H48" s="181">
        <f t="shared" si="2"/>
        <v>1493.9</v>
      </c>
      <c r="I48" s="181">
        <f t="shared" si="2"/>
        <v>2139.3000000000002</v>
      </c>
      <c r="J48" s="174">
        <f>'[3]2013г Роспись Спр.13'!E48</f>
        <v>6832.8000000000011</v>
      </c>
      <c r="K48" s="175">
        <f t="shared" si="0"/>
        <v>0</v>
      </c>
      <c r="M48" s="176"/>
    </row>
    <row r="49" spans="1:13" ht="56.25" customHeight="1" x14ac:dyDescent="0.35">
      <c r="A49" s="199" t="s">
        <v>614</v>
      </c>
      <c r="B49" s="199" t="s">
        <v>522</v>
      </c>
      <c r="C49" s="222" t="s">
        <v>615</v>
      </c>
      <c r="D49" s="223" t="s">
        <v>616</v>
      </c>
      <c r="E49" s="200">
        <f t="shared" si="2"/>
        <v>6832.8000000000011</v>
      </c>
      <c r="F49" s="224">
        <f t="shared" si="2"/>
        <v>1326.3999999999999</v>
      </c>
      <c r="G49" s="224">
        <f t="shared" si="2"/>
        <v>1435.1</v>
      </c>
      <c r="H49" s="224">
        <f t="shared" si="2"/>
        <v>1493.9</v>
      </c>
      <c r="I49" s="224">
        <f t="shared" si="2"/>
        <v>2139.3000000000002</v>
      </c>
      <c r="J49" s="174">
        <f>'[3]2013г Роспись Спр.13'!E49</f>
        <v>6832.8000000000011</v>
      </c>
      <c r="K49" s="175">
        <f t="shared" si="0"/>
        <v>0</v>
      </c>
      <c r="M49" s="176"/>
    </row>
    <row r="50" spans="1:13" ht="46.5" customHeight="1" x14ac:dyDescent="0.35">
      <c r="A50" s="199" t="s">
        <v>617</v>
      </c>
      <c r="B50" s="199" t="s">
        <v>522</v>
      </c>
      <c r="C50" s="222" t="s">
        <v>618</v>
      </c>
      <c r="D50" s="223" t="s">
        <v>619</v>
      </c>
      <c r="E50" s="200">
        <f>E51+E55</f>
        <v>6832.8000000000011</v>
      </c>
      <c r="F50" s="225">
        <f>F51+F55</f>
        <v>1326.3999999999999</v>
      </c>
      <c r="G50" s="225">
        <f>G51+G55</f>
        <v>1435.1</v>
      </c>
      <c r="H50" s="225">
        <f>H51+H55</f>
        <v>1493.9</v>
      </c>
      <c r="I50" s="225">
        <f>I51+I55</f>
        <v>2139.3000000000002</v>
      </c>
      <c r="J50" s="174">
        <f>'[3]2013г Роспись Спр.13'!E50</f>
        <v>6832.8000000000011</v>
      </c>
      <c r="K50" s="175">
        <f t="shared" si="0"/>
        <v>0</v>
      </c>
      <c r="M50" s="176"/>
    </row>
    <row r="51" spans="1:13" ht="54.75" customHeight="1" x14ac:dyDescent="0.35">
      <c r="A51" s="199" t="s">
        <v>620</v>
      </c>
      <c r="B51" s="199" t="s">
        <v>522</v>
      </c>
      <c r="C51" s="222" t="s">
        <v>621</v>
      </c>
      <c r="D51" s="223" t="s">
        <v>622</v>
      </c>
      <c r="E51" s="200">
        <f>E52</f>
        <v>1976.6</v>
      </c>
      <c r="F51" s="225">
        <f>F52</f>
        <v>444.8</v>
      </c>
      <c r="G51" s="225">
        <f>G52</f>
        <v>435.1</v>
      </c>
      <c r="H51" s="225">
        <f>H52</f>
        <v>493.9</v>
      </c>
      <c r="I51" s="225">
        <f>I52</f>
        <v>454.3</v>
      </c>
      <c r="J51" s="174">
        <f>'[3]2013г Роспись Спр.13'!E51</f>
        <v>1976.6</v>
      </c>
      <c r="K51" s="175">
        <f t="shared" si="0"/>
        <v>0</v>
      </c>
      <c r="M51" s="176"/>
    </row>
    <row r="52" spans="1:13" ht="80.25" customHeight="1" x14ac:dyDescent="0.35">
      <c r="A52" s="199" t="s">
        <v>623</v>
      </c>
      <c r="B52" s="199" t="s">
        <v>119</v>
      </c>
      <c r="C52" s="222" t="s">
        <v>624</v>
      </c>
      <c r="D52" s="226" t="s">
        <v>625</v>
      </c>
      <c r="E52" s="200">
        <f>E53+E54</f>
        <v>1976.6</v>
      </c>
      <c r="F52" s="225">
        <f>F53+F54</f>
        <v>444.8</v>
      </c>
      <c r="G52" s="225">
        <f>G53+G54</f>
        <v>435.1</v>
      </c>
      <c r="H52" s="225">
        <f>H53+H54</f>
        <v>493.9</v>
      </c>
      <c r="I52" s="225">
        <f>I53+I54</f>
        <v>454.3</v>
      </c>
      <c r="J52" s="174">
        <f>'[3]2013г Роспись Спр.13'!E52</f>
        <v>1976.6</v>
      </c>
      <c r="K52" s="175">
        <f t="shared" si="0"/>
        <v>0</v>
      </c>
      <c r="M52" s="176"/>
    </row>
    <row r="53" spans="1:13" ht="102" customHeight="1" x14ac:dyDescent="0.35">
      <c r="A53" s="199" t="s">
        <v>626</v>
      </c>
      <c r="B53" s="199" t="s">
        <v>119</v>
      </c>
      <c r="C53" s="222" t="s">
        <v>627</v>
      </c>
      <c r="D53" s="226" t="s">
        <v>628</v>
      </c>
      <c r="E53" s="200">
        <v>1971.6</v>
      </c>
      <c r="F53" s="194">
        <v>444.8</v>
      </c>
      <c r="G53" s="194">
        <v>435.1</v>
      </c>
      <c r="H53" s="194">
        <v>455.7</v>
      </c>
      <c r="I53" s="194">
        <v>454.3</v>
      </c>
      <c r="J53" s="174">
        <f>'[3]2013г Роспись Спр.13'!E53</f>
        <v>1971.6</v>
      </c>
      <c r="K53" s="175">
        <f t="shared" si="0"/>
        <v>0</v>
      </c>
      <c r="M53" s="176"/>
    </row>
    <row r="54" spans="1:13" ht="133.5" customHeight="1" x14ac:dyDescent="0.35">
      <c r="A54" s="199" t="s">
        <v>629</v>
      </c>
      <c r="B54" s="199" t="s">
        <v>119</v>
      </c>
      <c r="C54" s="222" t="s">
        <v>630</v>
      </c>
      <c r="D54" s="227" t="s">
        <v>631</v>
      </c>
      <c r="E54" s="200">
        <v>5</v>
      </c>
      <c r="F54" s="228">
        <v>0</v>
      </c>
      <c r="G54" s="228">
        <v>0</v>
      </c>
      <c r="H54" s="194">
        <v>38.200000000000003</v>
      </c>
      <c r="I54" s="228">
        <v>0</v>
      </c>
      <c r="J54" s="174">
        <f>'[3]2013г Роспись Спр.13'!E54</f>
        <v>5</v>
      </c>
      <c r="K54" s="175">
        <f t="shared" si="0"/>
        <v>0</v>
      </c>
      <c r="M54" s="176"/>
    </row>
    <row r="55" spans="1:13" ht="80.25" customHeight="1" x14ac:dyDescent="0.35">
      <c r="A55" s="199" t="s">
        <v>620</v>
      </c>
      <c r="B55" s="199" t="s">
        <v>522</v>
      </c>
      <c r="C55" s="222" t="s">
        <v>632</v>
      </c>
      <c r="D55" s="223" t="s">
        <v>633</v>
      </c>
      <c r="E55" s="200">
        <f>E56</f>
        <v>4856.2000000000007</v>
      </c>
      <c r="F55" s="229">
        <f>F56</f>
        <v>881.59999999999991</v>
      </c>
      <c r="G55" s="229">
        <f>G56</f>
        <v>1000</v>
      </c>
      <c r="H55" s="229">
        <f>H56</f>
        <v>1000</v>
      </c>
      <c r="I55" s="229">
        <f>I56</f>
        <v>1685</v>
      </c>
      <c r="J55" s="174">
        <f>'[3]2013г Роспись Спр.13'!E55</f>
        <v>4856.2000000000007</v>
      </c>
      <c r="K55" s="175">
        <f t="shared" si="0"/>
        <v>0</v>
      </c>
      <c r="M55" s="176"/>
    </row>
    <row r="56" spans="1:13" ht="102" customHeight="1" x14ac:dyDescent="0.35">
      <c r="A56" s="199" t="s">
        <v>634</v>
      </c>
      <c r="B56" s="199" t="s">
        <v>119</v>
      </c>
      <c r="C56" s="222" t="s">
        <v>635</v>
      </c>
      <c r="D56" s="223" t="s">
        <v>636</v>
      </c>
      <c r="E56" s="200">
        <f>E57+E58</f>
        <v>4856.2000000000007</v>
      </c>
      <c r="F56" s="229">
        <f>F57+F58</f>
        <v>881.59999999999991</v>
      </c>
      <c r="G56" s="229">
        <f>G57+G58</f>
        <v>1000</v>
      </c>
      <c r="H56" s="229">
        <f>H57+H58</f>
        <v>1000</v>
      </c>
      <c r="I56" s="229">
        <f>I57+I58</f>
        <v>1685</v>
      </c>
      <c r="J56" s="174">
        <f>'[3]2013г Роспись Спр.13'!E56</f>
        <v>4856.2000000000007</v>
      </c>
      <c r="K56" s="175">
        <f t="shared" si="0"/>
        <v>0</v>
      </c>
      <c r="M56" s="176"/>
    </row>
    <row r="57" spans="1:13" ht="63" customHeight="1" x14ac:dyDescent="0.35">
      <c r="A57" s="199" t="s">
        <v>637</v>
      </c>
      <c r="B57" s="199" t="s">
        <v>119</v>
      </c>
      <c r="C57" s="222" t="s">
        <v>638</v>
      </c>
      <c r="D57" s="223" t="s">
        <v>639</v>
      </c>
      <c r="E57" s="200">
        <v>3268.8</v>
      </c>
      <c r="F57" s="230">
        <v>665.4</v>
      </c>
      <c r="G57" s="230">
        <v>700</v>
      </c>
      <c r="H57" s="230">
        <v>700</v>
      </c>
      <c r="I57" s="230">
        <v>1128.5999999999999</v>
      </c>
      <c r="J57" s="174">
        <f>'[3]2013г Роспись Спр.13'!E57</f>
        <v>3268.8</v>
      </c>
      <c r="K57" s="175">
        <f t="shared" si="0"/>
        <v>0</v>
      </c>
      <c r="M57" s="176"/>
    </row>
    <row r="58" spans="1:13" ht="59.25" customHeight="1" x14ac:dyDescent="0.35">
      <c r="A58" s="199" t="s">
        <v>640</v>
      </c>
      <c r="B58" s="199" t="s">
        <v>119</v>
      </c>
      <c r="C58" s="222" t="s">
        <v>641</v>
      </c>
      <c r="D58" s="266" t="s">
        <v>642</v>
      </c>
      <c r="E58" s="200">
        <v>1587.4</v>
      </c>
      <c r="F58" s="230">
        <v>216.2</v>
      </c>
      <c r="G58" s="230">
        <v>300</v>
      </c>
      <c r="H58" s="230">
        <v>300</v>
      </c>
      <c r="I58" s="230">
        <v>556.4</v>
      </c>
      <c r="J58" s="174">
        <f>'[3]2013г Роспись Спр.13'!E58</f>
        <v>1587.4</v>
      </c>
      <c r="K58" s="175">
        <f t="shared" si="0"/>
        <v>0</v>
      </c>
      <c r="M58" s="176"/>
    </row>
    <row r="59" spans="1:13" ht="20.25" hidden="1" customHeight="1" x14ac:dyDescent="0.35">
      <c r="A59" s="199" t="s">
        <v>643</v>
      </c>
      <c r="B59" s="199" t="s">
        <v>522</v>
      </c>
      <c r="C59" s="199"/>
      <c r="D59" s="223" t="s">
        <v>644</v>
      </c>
      <c r="E59" s="200">
        <f>E60</f>
        <v>0</v>
      </c>
      <c r="F59" s="231">
        <f>F60</f>
        <v>7</v>
      </c>
      <c r="G59" s="231">
        <f>G60</f>
        <v>9</v>
      </c>
      <c r="H59" s="231">
        <f>H60</f>
        <v>79</v>
      </c>
      <c r="I59" s="231">
        <f>I60</f>
        <v>5</v>
      </c>
      <c r="J59" s="174">
        <f>'[3]2013г Роспись Спр.13'!E59</f>
        <v>0</v>
      </c>
      <c r="K59" s="175">
        <f t="shared" si="0"/>
        <v>0</v>
      </c>
      <c r="M59" s="176"/>
    </row>
    <row r="60" spans="1:13" ht="53.25" hidden="1" customHeight="1" x14ac:dyDescent="0.35">
      <c r="A60" s="199" t="s">
        <v>645</v>
      </c>
      <c r="B60" s="199" t="s">
        <v>119</v>
      </c>
      <c r="C60" s="199"/>
      <c r="D60" s="223" t="s">
        <v>646</v>
      </c>
      <c r="E60" s="200">
        <v>0</v>
      </c>
      <c r="F60" s="231">
        <v>7</v>
      </c>
      <c r="G60" s="231">
        <v>9</v>
      </c>
      <c r="H60" s="231">
        <f>9+70</f>
        <v>79</v>
      </c>
      <c r="I60" s="231">
        <v>5</v>
      </c>
      <c r="J60" s="174">
        <f>'[3]2013г Роспись Спр.13'!E60</f>
        <v>0</v>
      </c>
      <c r="K60" s="175">
        <f t="shared" si="0"/>
        <v>0</v>
      </c>
      <c r="M60" s="176"/>
    </row>
    <row r="61" spans="1:13" ht="22.5" customHeight="1" x14ac:dyDescent="0.35">
      <c r="A61" s="232"/>
      <c r="B61" s="232"/>
      <c r="C61" s="232"/>
      <c r="D61" s="233" t="s">
        <v>647</v>
      </c>
      <c r="E61" s="234">
        <f>SUM(E15+E48)</f>
        <v>54668.399999999994</v>
      </c>
      <c r="F61" s="235" t="e">
        <f>SUM(F15+F48)</f>
        <v>#REF!</v>
      </c>
      <c r="G61" s="235" t="e">
        <f>SUM(G15+G48)</f>
        <v>#REF!</v>
      </c>
      <c r="H61" s="235" t="e">
        <f>SUM(H15+H48)</f>
        <v>#REF!</v>
      </c>
      <c r="I61" s="235" t="e">
        <f>SUM(I15+I48)</f>
        <v>#REF!</v>
      </c>
      <c r="J61" s="174">
        <f>'[3]2013г Роспись Спр.13'!E61</f>
        <v>54668.399999999994</v>
      </c>
      <c r="K61" s="175">
        <f t="shared" si="0"/>
        <v>0</v>
      </c>
      <c r="M61" s="176"/>
    </row>
    <row r="62" spans="1:13" ht="21.75" customHeight="1" x14ac:dyDescent="0.4">
      <c r="D62" s="236"/>
      <c r="E62" s="237"/>
      <c r="F62" s="238" t="e">
        <f>#REF!</f>
        <v>#REF!</v>
      </c>
      <c r="G62" s="238" t="e">
        <f>#REF!</f>
        <v>#REF!</v>
      </c>
      <c r="H62" s="238" t="e">
        <f>#REF!</f>
        <v>#REF!</v>
      </c>
      <c r="I62" s="238" t="e">
        <f>#REF!</f>
        <v>#REF!</v>
      </c>
      <c r="J62" s="239"/>
      <c r="K62" s="240"/>
      <c r="M62" s="241"/>
    </row>
    <row r="63" spans="1:13" ht="27" customHeight="1" x14ac:dyDescent="0.4">
      <c r="D63" s="242"/>
      <c r="E63" s="243">
        <v>54668.4</v>
      </c>
      <c r="F63" s="244" t="e">
        <f>F61-F62</f>
        <v>#REF!</v>
      </c>
      <c r="G63" s="244" t="e">
        <f>G61-G62</f>
        <v>#REF!</v>
      </c>
      <c r="H63" s="244" t="e">
        <f>H61-H62</f>
        <v>#REF!</v>
      </c>
      <c r="I63" s="244" t="e">
        <f>I61-I62</f>
        <v>#REF!</v>
      </c>
      <c r="J63" s="245"/>
      <c r="K63" s="176"/>
    </row>
    <row r="64" spans="1:13" ht="15.5" x14ac:dyDescent="0.35">
      <c r="D64" s="11"/>
      <c r="E64" s="246">
        <f>E61-E63</f>
        <v>0</v>
      </c>
      <c r="J64" s="247"/>
      <c r="K64" s="248"/>
    </row>
    <row r="65" spans="5:13" x14ac:dyDescent="0.25">
      <c r="E65" s="130"/>
      <c r="K65" s="176"/>
      <c r="M65" s="176"/>
    </row>
    <row r="66" spans="5:13" ht="18" x14ac:dyDescent="0.4">
      <c r="F66" s="39"/>
      <c r="G66" s="39"/>
      <c r="H66" s="39"/>
      <c r="I66" s="39"/>
      <c r="J66" s="39"/>
      <c r="K66" s="249"/>
    </row>
    <row r="67" spans="5:13" ht="17.5" x14ac:dyDescent="0.35">
      <c r="F67" s="249"/>
      <c r="G67" s="249"/>
      <c r="H67" s="249"/>
      <c r="I67" s="249"/>
      <c r="J67" s="250"/>
      <c r="K67" s="249"/>
    </row>
    <row r="68" spans="5:13" ht="17.5" x14ac:dyDescent="0.35">
      <c r="F68" s="251"/>
      <c r="G68" s="251"/>
      <c r="H68" s="251"/>
      <c r="I68" s="251"/>
      <c r="J68" s="251"/>
      <c r="K68" s="249"/>
    </row>
    <row r="69" spans="5:13" x14ac:dyDescent="0.25">
      <c r="E69" s="176"/>
    </row>
    <row r="70" spans="5:13" ht="14" x14ac:dyDescent="0.3">
      <c r="K70" s="252"/>
    </row>
  </sheetData>
  <mergeCells count="12">
    <mergeCell ref="D5:F5"/>
    <mergeCell ref="D6:F6"/>
    <mergeCell ref="M7:N7"/>
    <mergeCell ref="C9:D9"/>
    <mergeCell ref="C10:D10"/>
    <mergeCell ref="C11:D11"/>
    <mergeCell ref="D1:E1"/>
    <mergeCell ref="D2:F2"/>
    <mergeCell ref="M2:N2"/>
    <mergeCell ref="D3:E3"/>
    <mergeCell ref="M3:N3"/>
    <mergeCell ref="M4:N4"/>
  </mergeCells>
  <pageMargins left="0.43307086614173229" right="0.19685039370078741" top="0.47244094488188981" bottom="0.19685039370078741" header="0.51181102362204722" footer="0.19685039370078741"/>
  <pageSetup paperSize="9" scale="68" orientation="portrait" r:id="rId1"/>
  <headerFooter alignWithMargins="0"/>
  <rowBreaks count="2" manualBreakCount="2">
    <brk id="33" max="4" man="1"/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340"/>
  <sheetViews>
    <sheetView view="pageBreakPreview" zoomScale="70" zoomScaleNormal="70" zoomScaleSheetLayoutView="70" workbookViewId="0">
      <selection activeCell="C4" sqref="C4:H4"/>
    </sheetView>
  </sheetViews>
  <sheetFormatPr defaultColWidth="9.08984375" defaultRowHeight="12.5" x14ac:dyDescent="0.25"/>
  <cols>
    <col min="1" max="1" width="19.6328125" style="127" customWidth="1"/>
    <col min="2" max="2" width="63.08984375" style="128" customWidth="1"/>
    <col min="3" max="3" width="10" style="128" customWidth="1"/>
    <col min="4" max="4" width="11.90625" style="129" customWidth="1"/>
    <col min="5" max="5" width="16.6328125" style="129" customWidth="1"/>
    <col min="6" max="6" width="15.08984375" style="129" customWidth="1"/>
    <col min="7" max="7" width="14.08984375" style="129" hidden="1" customWidth="1"/>
    <col min="8" max="8" width="16" style="6" customWidth="1"/>
    <col min="9" max="9" width="14.36328125" style="6" hidden="1" customWidth="1"/>
    <col min="10" max="10" width="13.453125" style="6" hidden="1" customWidth="1"/>
    <col min="11" max="11" width="12.54296875" style="6" hidden="1" customWidth="1"/>
    <col min="12" max="12" width="13.54296875" style="6" hidden="1" customWidth="1"/>
    <col min="13" max="13" width="13.36328125" style="6" customWidth="1"/>
    <col min="14" max="14" width="12.36328125" style="6" bestFit="1" customWidth="1"/>
    <col min="15" max="15" width="13.08984375" style="6" bestFit="1" customWidth="1"/>
    <col min="16" max="16" width="9.08984375" style="6"/>
    <col min="17" max="23" width="0" style="6" hidden="1" customWidth="1"/>
    <col min="24" max="256" width="9.08984375" style="6"/>
    <col min="257" max="257" width="19.6328125" style="6" customWidth="1"/>
    <col min="258" max="258" width="63.08984375" style="6" customWidth="1"/>
    <col min="259" max="259" width="10" style="6" customWidth="1"/>
    <col min="260" max="260" width="11.90625" style="6" customWidth="1"/>
    <col min="261" max="261" width="16.6328125" style="6" customWidth="1"/>
    <col min="262" max="262" width="15.08984375" style="6" customWidth="1"/>
    <col min="263" max="263" width="0" style="6" hidden="1" customWidth="1"/>
    <col min="264" max="264" width="16" style="6" customWidth="1"/>
    <col min="265" max="268" width="0" style="6" hidden="1" customWidth="1"/>
    <col min="269" max="269" width="13.36328125" style="6" customWidth="1"/>
    <col min="270" max="270" width="12.36328125" style="6" bestFit="1" customWidth="1"/>
    <col min="271" max="271" width="13.08984375" style="6" bestFit="1" customWidth="1"/>
    <col min="272" max="272" width="9.08984375" style="6"/>
    <col min="273" max="279" width="0" style="6" hidden="1" customWidth="1"/>
    <col min="280" max="512" width="9.08984375" style="6"/>
    <col min="513" max="513" width="19.6328125" style="6" customWidth="1"/>
    <col min="514" max="514" width="63.08984375" style="6" customWidth="1"/>
    <col min="515" max="515" width="10" style="6" customWidth="1"/>
    <col min="516" max="516" width="11.90625" style="6" customWidth="1"/>
    <col min="517" max="517" width="16.6328125" style="6" customWidth="1"/>
    <col min="518" max="518" width="15.08984375" style="6" customWidth="1"/>
    <col min="519" max="519" width="0" style="6" hidden="1" customWidth="1"/>
    <col min="520" max="520" width="16" style="6" customWidth="1"/>
    <col min="521" max="524" width="0" style="6" hidden="1" customWidth="1"/>
    <col min="525" max="525" width="13.36328125" style="6" customWidth="1"/>
    <col min="526" max="526" width="12.36328125" style="6" bestFit="1" customWidth="1"/>
    <col min="527" max="527" width="13.08984375" style="6" bestFit="1" customWidth="1"/>
    <col min="528" max="528" width="9.08984375" style="6"/>
    <col min="529" max="535" width="0" style="6" hidden="1" customWidth="1"/>
    <col min="536" max="768" width="9.08984375" style="6"/>
    <col min="769" max="769" width="19.6328125" style="6" customWidth="1"/>
    <col min="770" max="770" width="63.08984375" style="6" customWidth="1"/>
    <col min="771" max="771" width="10" style="6" customWidth="1"/>
    <col min="772" max="772" width="11.90625" style="6" customWidth="1"/>
    <col min="773" max="773" width="16.6328125" style="6" customWidth="1"/>
    <col min="774" max="774" width="15.08984375" style="6" customWidth="1"/>
    <col min="775" max="775" width="0" style="6" hidden="1" customWidth="1"/>
    <col min="776" max="776" width="16" style="6" customWidth="1"/>
    <col min="777" max="780" width="0" style="6" hidden="1" customWidth="1"/>
    <col min="781" max="781" width="13.36328125" style="6" customWidth="1"/>
    <col min="782" max="782" width="12.36328125" style="6" bestFit="1" customWidth="1"/>
    <col min="783" max="783" width="13.08984375" style="6" bestFit="1" customWidth="1"/>
    <col min="784" max="784" width="9.08984375" style="6"/>
    <col min="785" max="791" width="0" style="6" hidden="1" customWidth="1"/>
    <col min="792" max="1024" width="9.08984375" style="6"/>
    <col min="1025" max="1025" width="19.6328125" style="6" customWidth="1"/>
    <col min="1026" max="1026" width="63.08984375" style="6" customWidth="1"/>
    <col min="1027" max="1027" width="10" style="6" customWidth="1"/>
    <col min="1028" max="1028" width="11.90625" style="6" customWidth="1"/>
    <col min="1029" max="1029" width="16.6328125" style="6" customWidth="1"/>
    <col min="1030" max="1030" width="15.08984375" style="6" customWidth="1"/>
    <col min="1031" max="1031" width="0" style="6" hidden="1" customWidth="1"/>
    <col min="1032" max="1032" width="16" style="6" customWidth="1"/>
    <col min="1033" max="1036" width="0" style="6" hidden="1" customWidth="1"/>
    <col min="1037" max="1037" width="13.36328125" style="6" customWidth="1"/>
    <col min="1038" max="1038" width="12.36328125" style="6" bestFit="1" customWidth="1"/>
    <col min="1039" max="1039" width="13.08984375" style="6" bestFit="1" customWidth="1"/>
    <col min="1040" max="1040" width="9.08984375" style="6"/>
    <col min="1041" max="1047" width="0" style="6" hidden="1" customWidth="1"/>
    <col min="1048" max="1280" width="9.08984375" style="6"/>
    <col min="1281" max="1281" width="19.6328125" style="6" customWidth="1"/>
    <col min="1282" max="1282" width="63.08984375" style="6" customWidth="1"/>
    <col min="1283" max="1283" width="10" style="6" customWidth="1"/>
    <col min="1284" max="1284" width="11.90625" style="6" customWidth="1"/>
    <col min="1285" max="1285" width="16.6328125" style="6" customWidth="1"/>
    <col min="1286" max="1286" width="15.08984375" style="6" customWidth="1"/>
    <col min="1287" max="1287" width="0" style="6" hidden="1" customWidth="1"/>
    <col min="1288" max="1288" width="16" style="6" customWidth="1"/>
    <col min="1289" max="1292" width="0" style="6" hidden="1" customWidth="1"/>
    <col min="1293" max="1293" width="13.36328125" style="6" customWidth="1"/>
    <col min="1294" max="1294" width="12.36328125" style="6" bestFit="1" customWidth="1"/>
    <col min="1295" max="1295" width="13.08984375" style="6" bestFit="1" customWidth="1"/>
    <col min="1296" max="1296" width="9.08984375" style="6"/>
    <col min="1297" max="1303" width="0" style="6" hidden="1" customWidth="1"/>
    <col min="1304" max="1536" width="9.08984375" style="6"/>
    <col min="1537" max="1537" width="19.6328125" style="6" customWidth="1"/>
    <col min="1538" max="1538" width="63.08984375" style="6" customWidth="1"/>
    <col min="1539" max="1539" width="10" style="6" customWidth="1"/>
    <col min="1540" max="1540" width="11.90625" style="6" customWidth="1"/>
    <col min="1541" max="1541" width="16.6328125" style="6" customWidth="1"/>
    <col min="1542" max="1542" width="15.08984375" style="6" customWidth="1"/>
    <col min="1543" max="1543" width="0" style="6" hidden="1" customWidth="1"/>
    <col min="1544" max="1544" width="16" style="6" customWidth="1"/>
    <col min="1545" max="1548" width="0" style="6" hidden="1" customWidth="1"/>
    <col min="1549" max="1549" width="13.36328125" style="6" customWidth="1"/>
    <col min="1550" max="1550" width="12.36328125" style="6" bestFit="1" customWidth="1"/>
    <col min="1551" max="1551" width="13.08984375" style="6" bestFit="1" customWidth="1"/>
    <col min="1552" max="1552" width="9.08984375" style="6"/>
    <col min="1553" max="1559" width="0" style="6" hidden="1" customWidth="1"/>
    <col min="1560" max="1792" width="9.08984375" style="6"/>
    <col min="1793" max="1793" width="19.6328125" style="6" customWidth="1"/>
    <col min="1794" max="1794" width="63.08984375" style="6" customWidth="1"/>
    <col min="1795" max="1795" width="10" style="6" customWidth="1"/>
    <col min="1796" max="1796" width="11.90625" style="6" customWidth="1"/>
    <col min="1797" max="1797" width="16.6328125" style="6" customWidth="1"/>
    <col min="1798" max="1798" width="15.08984375" style="6" customWidth="1"/>
    <col min="1799" max="1799" width="0" style="6" hidden="1" customWidth="1"/>
    <col min="1800" max="1800" width="16" style="6" customWidth="1"/>
    <col min="1801" max="1804" width="0" style="6" hidden="1" customWidth="1"/>
    <col min="1805" max="1805" width="13.36328125" style="6" customWidth="1"/>
    <col min="1806" max="1806" width="12.36328125" style="6" bestFit="1" customWidth="1"/>
    <col min="1807" max="1807" width="13.08984375" style="6" bestFit="1" customWidth="1"/>
    <col min="1808" max="1808" width="9.08984375" style="6"/>
    <col min="1809" max="1815" width="0" style="6" hidden="1" customWidth="1"/>
    <col min="1816" max="2048" width="9.08984375" style="6"/>
    <col min="2049" max="2049" width="19.6328125" style="6" customWidth="1"/>
    <col min="2050" max="2050" width="63.08984375" style="6" customWidth="1"/>
    <col min="2051" max="2051" width="10" style="6" customWidth="1"/>
    <col min="2052" max="2052" width="11.90625" style="6" customWidth="1"/>
    <col min="2053" max="2053" width="16.6328125" style="6" customWidth="1"/>
    <col min="2054" max="2054" width="15.08984375" style="6" customWidth="1"/>
    <col min="2055" max="2055" width="0" style="6" hidden="1" customWidth="1"/>
    <col min="2056" max="2056" width="16" style="6" customWidth="1"/>
    <col min="2057" max="2060" width="0" style="6" hidden="1" customWidth="1"/>
    <col min="2061" max="2061" width="13.36328125" style="6" customWidth="1"/>
    <col min="2062" max="2062" width="12.36328125" style="6" bestFit="1" customWidth="1"/>
    <col min="2063" max="2063" width="13.08984375" style="6" bestFit="1" customWidth="1"/>
    <col min="2064" max="2064" width="9.08984375" style="6"/>
    <col min="2065" max="2071" width="0" style="6" hidden="1" customWidth="1"/>
    <col min="2072" max="2304" width="9.08984375" style="6"/>
    <col min="2305" max="2305" width="19.6328125" style="6" customWidth="1"/>
    <col min="2306" max="2306" width="63.08984375" style="6" customWidth="1"/>
    <col min="2307" max="2307" width="10" style="6" customWidth="1"/>
    <col min="2308" max="2308" width="11.90625" style="6" customWidth="1"/>
    <col min="2309" max="2309" width="16.6328125" style="6" customWidth="1"/>
    <col min="2310" max="2310" width="15.08984375" style="6" customWidth="1"/>
    <col min="2311" max="2311" width="0" style="6" hidden="1" customWidth="1"/>
    <col min="2312" max="2312" width="16" style="6" customWidth="1"/>
    <col min="2313" max="2316" width="0" style="6" hidden="1" customWidth="1"/>
    <col min="2317" max="2317" width="13.36328125" style="6" customWidth="1"/>
    <col min="2318" max="2318" width="12.36328125" style="6" bestFit="1" customWidth="1"/>
    <col min="2319" max="2319" width="13.08984375" style="6" bestFit="1" customWidth="1"/>
    <col min="2320" max="2320" width="9.08984375" style="6"/>
    <col min="2321" max="2327" width="0" style="6" hidden="1" customWidth="1"/>
    <col min="2328" max="2560" width="9.08984375" style="6"/>
    <col min="2561" max="2561" width="19.6328125" style="6" customWidth="1"/>
    <col min="2562" max="2562" width="63.08984375" style="6" customWidth="1"/>
    <col min="2563" max="2563" width="10" style="6" customWidth="1"/>
    <col min="2564" max="2564" width="11.90625" style="6" customWidth="1"/>
    <col min="2565" max="2565" width="16.6328125" style="6" customWidth="1"/>
    <col min="2566" max="2566" width="15.08984375" style="6" customWidth="1"/>
    <col min="2567" max="2567" width="0" style="6" hidden="1" customWidth="1"/>
    <col min="2568" max="2568" width="16" style="6" customWidth="1"/>
    <col min="2569" max="2572" width="0" style="6" hidden="1" customWidth="1"/>
    <col min="2573" max="2573" width="13.36328125" style="6" customWidth="1"/>
    <col min="2574" max="2574" width="12.36328125" style="6" bestFit="1" customWidth="1"/>
    <col min="2575" max="2575" width="13.08984375" style="6" bestFit="1" customWidth="1"/>
    <col min="2576" max="2576" width="9.08984375" style="6"/>
    <col min="2577" max="2583" width="0" style="6" hidden="1" customWidth="1"/>
    <col min="2584" max="2816" width="9.08984375" style="6"/>
    <col min="2817" max="2817" width="19.6328125" style="6" customWidth="1"/>
    <col min="2818" max="2818" width="63.08984375" style="6" customWidth="1"/>
    <col min="2819" max="2819" width="10" style="6" customWidth="1"/>
    <col min="2820" max="2820" width="11.90625" style="6" customWidth="1"/>
    <col min="2821" max="2821" width="16.6328125" style="6" customWidth="1"/>
    <col min="2822" max="2822" width="15.08984375" style="6" customWidth="1"/>
    <col min="2823" max="2823" width="0" style="6" hidden="1" customWidth="1"/>
    <col min="2824" max="2824" width="16" style="6" customWidth="1"/>
    <col min="2825" max="2828" width="0" style="6" hidden="1" customWidth="1"/>
    <col min="2829" max="2829" width="13.36328125" style="6" customWidth="1"/>
    <col min="2830" max="2830" width="12.36328125" style="6" bestFit="1" customWidth="1"/>
    <col min="2831" max="2831" width="13.08984375" style="6" bestFit="1" customWidth="1"/>
    <col min="2832" max="2832" width="9.08984375" style="6"/>
    <col min="2833" max="2839" width="0" style="6" hidden="1" customWidth="1"/>
    <col min="2840" max="3072" width="9.08984375" style="6"/>
    <col min="3073" max="3073" width="19.6328125" style="6" customWidth="1"/>
    <col min="3074" max="3074" width="63.08984375" style="6" customWidth="1"/>
    <col min="3075" max="3075" width="10" style="6" customWidth="1"/>
    <col min="3076" max="3076" width="11.90625" style="6" customWidth="1"/>
    <col min="3077" max="3077" width="16.6328125" style="6" customWidth="1"/>
    <col min="3078" max="3078" width="15.08984375" style="6" customWidth="1"/>
    <col min="3079" max="3079" width="0" style="6" hidden="1" customWidth="1"/>
    <col min="3080" max="3080" width="16" style="6" customWidth="1"/>
    <col min="3081" max="3084" width="0" style="6" hidden="1" customWidth="1"/>
    <col min="3085" max="3085" width="13.36328125" style="6" customWidth="1"/>
    <col min="3086" max="3086" width="12.36328125" style="6" bestFit="1" customWidth="1"/>
    <col min="3087" max="3087" width="13.08984375" style="6" bestFit="1" customWidth="1"/>
    <col min="3088" max="3088" width="9.08984375" style="6"/>
    <col min="3089" max="3095" width="0" style="6" hidden="1" customWidth="1"/>
    <col min="3096" max="3328" width="9.08984375" style="6"/>
    <col min="3329" max="3329" width="19.6328125" style="6" customWidth="1"/>
    <col min="3330" max="3330" width="63.08984375" style="6" customWidth="1"/>
    <col min="3331" max="3331" width="10" style="6" customWidth="1"/>
    <col min="3332" max="3332" width="11.90625" style="6" customWidth="1"/>
    <col min="3333" max="3333" width="16.6328125" style="6" customWidth="1"/>
    <col min="3334" max="3334" width="15.08984375" style="6" customWidth="1"/>
    <col min="3335" max="3335" width="0" style="6" hidden="1" customWidth="1"/>
    <col min="3336" max="3336" width="16" style="6" customWidth="1"/>
    <col min="3337" max="3340" width="0" style="6" hidden="1" customWidth="1"/>
    <col min="3341" max="3341" width="13.36328125" style="6" customWidth="1"/>
    <col min="3342" max="3342" width="12.36328125" style="6" bestFit="1" customWidth="1"/>
    <col min="3343" max="3343" width="13.08984375" style="6" bestFit="1" customWidth="1"/>
    <col min="3344" max="3344" width="9.08984375" style="6"/>
    <col min="3345" max="3351" width="0" style="6" hidden="1" customWidth="1"/>
    <col min="3352" max="3584" width="9.08984375" style="6"/>
    <col min="3585" max="3585" width="19.6328125" style="6" customWidth="1"/>
    <col min="3586" max="3586" width="63.08984375" style="6" customWidth="1"/>
    <col min="3587" max="3587" width="10" style="6" customWidth="1"/>
    <col min="3588" max="3588" width="11.90625" style="6" customWidth="1"/>
    <col min="3589" max="3589" width="16.6328125" style="6" customWidth="1"/>
    <col min="3590" max="3590" width="15.08984375" style="6" customWidth="1"/>
    <col min="3591" max="3591" width="0" style="6" hidden="1" customWidth="1"/>
    <col min="3592" max="3592" width="16" style="6" customWidth="1"/>
    <col min="3593" max="3596" width="0" style="6" hidden="1" customWidth="1"/>
    <col min="3597" max="3597" width="13.36328125" style="6" customWidth="1"/>
    <col min="3598" max="3598" width="12.36328125" style="6" bestFit="1" customWidth="1"/>
    <col min="3599" max="3599" width="13.08984375" style="6" bestFit="1" customWidth="1"/>
    <col min="3600" max="3600" width="9.08984375" style="6"/>
    <col min="3601" max="3607" width="0" style="6" hidden="1" customWidth="1"/>
    <col min="3608" max="3840" width="9.08984375" style="6"/>
    <col min="3841" max="3841" width="19.6328125" style="6" customWidth="1"/>
    <col min="3842" max="3842" width="63.08984375" style="6" customWidth="1"/>
    <col min="3843" max="3843" width="10" style="6" customWidth="1"/>
    <col min="3844" max="3844" width="11.90625" style="6" customWidth="1"/>
    <col min="3845" max="3845" width="16.6328125" style="6" customWidth="1"/>
    <col min="3846" max="3846" width="15.08984375" style="6" customWidth="1"/>
    <col min="3847" max="3847" width="0" style="6" hidden="1" customWidth="1"/>
    <col min="3848" max="3848" width="16" style="6" customWidth="1"/>
    <col min="3849" max="3852" width="0" style="6" hidden="1" customWidth="1"/>
    <col min="3853" max="3853" width="13.36328125" style="6" customWidth="1"/>
    <col min="3854" max="3854" width="12.36328125" style="6" bestFit="1" customWidth="1"/>
    <col min="3855" max="3855" width="13.08984375" style="6" bestFit="1" customWidth="1"/>
    <col min="3856" max="3856" width="9.08984375" style="6"/>
    <col min="3857" max="3863" width="0" style="6" hidden="1" customWidth="1"/>
    <col min="3864" max="4096" width="9.08984375" style="6"/>
    <col min="4097" max="4097" width="19.6328125" style="6" customWidth="1"/>
    <col min="4098" max="4098" width="63.08984375" style="6" customWidth="1"/>
    <col min="4099" max="4099" width="10" style="6" customWidth="1"/>
    <col min="4100" max="4100" width="11.90625" style="6" customWidth="1"/>
    <col min="4101" max="4101" width="16.6328125" style="6" customWidth="1"/>
    <col min="4102" max="4102" width="15.08984375" style="6" customWidth="1"/>
    <col min="4103" max="4103" width="0" style="6" hidden="1" customWidth="1"/>
    <col min="4104" max="4104" width="16" style="6" customWidth="1"/>
    <col min="4105" max="4108" width="0" style="6" hidden="1" customWidth="1"/>
    <col min="4109" max="4109" width="13.36328125" style="6" customWidth="1"/>
    <col min="4110" max="4110" width="12.36328125" style="6" bestFit="1" customWidth="1"/>
    <col min="4111" max="4111" width="13.08984375" style="6" bestFit="1" customWidth="1"/>
    <col min="4112" max="4112" width="9.08984375" style="6"/>
    <col min="4113" max="4119" width="0" style="6" hidden="1" customWidth="1"/>
    <col min="4120" max="4352" width="9.08984375" style="6"/>
    <col min="4353" max="4353" width="19.6328125" style="6" customWidth="1"/>
    <col min="4354" max="4354" width="63.08984375" style="6" customWidth="1"/>
    <col min="4355" max="4355" width="10" style="6" customWidth="1"/>
    <col min="4356" max="4356" width="11.90625" style="6" customWidth="1"/>
    <col min="4357" max="4357" width="16.6328125" style="6" customWidth="1"/>
    <col min="4358" max="4358" width="15.08984375" style="6" customWidth="1"/>
    <col min="4359" max="4359" width="0" style="6" hidden="1" customWidth="1"/>
    <col min="4360" max="4360" width="16" style="6" customWidth="1"/>
    <col min="4361" max="4364" width="0" style="6" hidden="1" customWidth="1"/>
    <col min="4365" max="4365" width="13.36328125" style="6" customWidth="1"/>
    <col min="4366" max="4366" width="12.36328125" style="6" bestFit="1" customWidth="1"/>
    <col min="4367" max="4367" width="13.08984375" style="6" bestFit="1" customWidth="1"/>
    <col min="4368" max="4368" width="9.08984375" style="6"/>
    <col min="4369" max="4375" width="0" style="6" hidden="1" customWidth="1"/>
    <col min="4376" max="4608" width="9.08984375" style="6"/>
    <col min="4609" max="4609" width="19.6328125" style="6" customWidth="1"/>
    <col min="4610" max="4610" width="63.08984375" style="6" customWidth="1"/>
    <col min="4611" max="4611" width="10" style="6" customWidth="1"/>
    <col min="4612" max="4612" width="11.90625" style="6" customWidth="1"/>
    <col min="4613" max="4613" width="16.6328125" style="6" customWidth="1"/>
    <col min="4614" max="4614" width="15.08984375" style="6" customWidth="1"/>
    <col min="4615" max="4615" width="0" style="6" hidden="1" customWidth="1"/>
    <col min="4616" max="4616" width="16" style="6" customWidth="1"/>
    <col min="4617" max="4620" width="0" style="6" hidden="1" customWidth="1"/>
    <col min="4621" max="4621" width="13.36328125" style="6" customWidth="1"/>
    <col min="4622" max="4622" width="12.36328125" style="6" bestFit="1" customWidth="1"/>
    <col min="4623" max="4623" width="13.08984375" style="6" bestFit="1" customWidth="1"/>
    <col min="4624" max="4624" width="9.08984375" style="6"/>
    <col min="4625" max="4631" width="0" style="6" hidden="1" customWidth="1"/>
    <col min="4632" max="4864" width="9.08984375" style="6"/>
    <col min="4865" max="4865" width="19.6328125" style="6" customWidth="1"/>
    <col min="4866" max="4866" width="63.08984375" style="6" customWidth="1"/>
    <col min="4867" max="4867" width="10" style="6" customWidth="1"/>
    <col min="4868" max="4868" width="11.90625" style="6" customWidth="1"/>
    <col min="4869" max="4869" width="16.6328125" style="6" customWidth="1"/>
    <col min="4870" max="4870" width="15.08984375" style="6" customWidth="1"/>
    <col min="4871" max="4871" width="0" style="6" hidden="1" customWidth="1"/>
    <col min="4872" max="4872" width="16" style="6" customWidth="1"/>
    <col min="4873" max="4876" width="0" style="6" hidden="1" customWidth="1"/>
    <col min="4877" max="4877" width="13.36328125" style="6" customWidth="1"/>
    <col min="4878" max="4878" width="12.36328125" style="6" bestFit="1" customWidth="1"/>
    <col min="4879" max="4879" width="13.08984375" style="6" bestFit="1" customWidth="1"/>
    <col min="4880" max="4880" width="9.08984375" style="6"/>
    <col min="4881" max="4887" width="0" style="6" hidden="1" customWidth="1"/>
    <col min="4888" max="5120" width="9.08984375" style="6"/>
    <col min="5121" max="5121" width="19.6328125" style="6" customWidth="1"/>
    <col min="5122" max="5122" width="63.08984375" style="6" customWidth="1"/>
    <col min="5123" max="5123" width="10" style="6" customWidth="1"/>
    <col min="5124" max="5124" width="11.90625" style="6" customWidth="1"/>
    <col min="5125" max="5125" width="16.6328125" style="6" customWidth="1"/>
    <col min="5126" max="5126" width="15.08984375" style="6" customWidth="1"/>
    <col min="5127" max="5127" width="0" style="6" hidden="1" customWidth="1"/>
    <col min="5128" max="5128" width="16" style="6" customWidth="1"/>
    <col min="5129" max="5132" width="0" style="6" hidden="1" customWidth="1"/>
    <col min="5133" max="5133" width="13.36328125" style="6" customWidth="1"/>
    <col min="5134" max="5134" width="12.36328125" style="6" bestFit="1" customWidth="1"/>
    <col min="5135" max="5135" width="13.08984375" style="6" bestFit="1" customWidth="1"/>
    <col min="5136" max="5136" width="9.08984375" style="6"/>
    <col min="5137" max="5143" width="0" style="6" hidden="1" customWidth="1"/>
    <col min="5144" max="5376" width="9.08984375" style="6"/>
    <col min="5377" max="5377" width="19.6328125" style="6" customWidth="1"/>
    <col min="5378" max="5378" width="63.08984375" style="6" customWidth="1"/>
    <col min="5379" max="5379" width="10" style="6" customWidth="1"/>
    <col min="5380" max="5380" width="11.90625" style="6" customWidth="1"/>
    <col min="5381" max="5381" width="16.6328125" style="6" customWidth="1"/>
    <col min="5382" max="5382" width="15.08984375" style="6" customWidth="1"/>
    <col min="5383" max="5383" width="0" style="6" hidden="1" customWidth="1"/>
    <col min="5384" max="5384" width="16" style="6" customWidth="1"/>
    <col min="5385" max="5388" width="0" style="6" hidden="1" customWidth="1"/>
    <col min="5389" max="5389" width="13.36328125" style="6" customWidth="1"/>
    <col min="5390" max="5390" width="12.36328125" style="6" bestFit="1" customWidth="1"/>
    <col min="5391" max="5391" width="13.08984375" style="6" bestFit="1" customWidth="1"/>
    <col min="5392" max="5392" width="9.08984375" style="6"/>
    <col min="5393" max="5399" width="0" style="6" hidden="1" customWidth="1"/>
    <col min="5400" max="5632" width="9.08984375" style="6"/>
    <col min="5633" max="5633" width="19.6328125" style="6" customWidth="1"/>
    <col min="5634" max="5634" width="63.08984375" style="6" customWidth="1"/>
    <col min="5635" max="5635" width="10" style="6" customWidth="1"/>
    <col min="5636" max="5636" width="11.90625" style="6" customWidth="1"/>
    <col min="5637" max="5637" width="16.6328125" style="6" customWidth="1"/>
    <col min="5638" max="5638" width="15.08984375" style="6" customWidth="1"/>
    <col min="5639" max="5639" width="0" style="6" hidden="1" customWidth="1"/>
    <col min="5640" max="5640" width="16" style="6" customWidth="1"/>
    <col min="5641" max="5644" width="0" style="6" hidden="1" customWidth="1"/>
    <col min="5645" max="5645" width="13.36328125" style="6" customWidth="1"/>
    <col min="5646" max="5646" width="12.36328125" style="6" bestFit="1" customWidth="1"/>
    <col min="5647" max="5647" width="13.08984375" style="6" bestFit="1" customWidth="1"/>
    <col min="5648" max="5648" width="9.08984375" style="6"/>
    <col min="5649" max="5655" width="0" style="6" hidden="1" customWidth="1"/>
    <col min="5656" max="5888" width="9.08984375" style="6"/>
    <col min="5889" max="5889" width="19.6328125" style="6" customWidth="1"/>
    <col min="5890" max="5890" width="63.08984375" style="6" customWidth="1"/>
    <col min="5891" max="5891" width="10" style="6" customWidth="1"/>
    <col min="5892" max="5892" width="11.90625" style="6" customWidth="1"/>
    <col min="5893" max="5893" width="16.6328125" style="6" customWidth="1"/>
    <col min="5894" max="5894" width="15.08984375" style="6" customWidth="1"/>
    <col min="5895" max="5895" width="0" style="6" hidden="1" customWidth="1"/>
    <col min="5896" max="5896" width="16" style="6" customWidth="1"/>
    <col min="5897" max="5900" width="0" style="6" hidden="1" customWidth="1"/>
    <col min="5901" max="5901" width="13.36328125" style="6" customWidth="1"/>
    <col min="5902" max="5902" width="12.36328125" style="6" bestFit="1" customWidth="1"/>
    <col min="5903" max="5903" width="13.08984375" style="6" bestFit="1" customWidth="1"/>
    <col min="5904" max="5904" width="9.08984375" style="6"/>
    <col min="5905" max="5911" width="0" style="6" hidden="1" customWidth="1"/>
    <col min="5912" max="6144" width="9.08984375" style="6"/>
    <col min="6145" max="6145" width="19.6328125" style="6" customWidth="1"/>
    <col min="6146" max="6146" width="63.08984375" style="6" customWidth="1"/>
    <col min="6147" max="6147" width="10" style="6" customWidth="1"/>
    <col min="6148" max="6148" width="11.90625" style="6" customWidth="1"/>
    <col min="6149" max="6149" width="16.6328125" style="6" customWidth="1"/>
    <col min="6150" max="6150" width="15.08984375" style="6" customWidth="1"/>
    <col min="6151" max="6151" width="0" style="6" hidden="1" customWidth="1"/>
    <col min="6152" max="6152" width="16" style="6" customWidth="1"/>
    <col min="6153" max="6156" width="0" style="6" hidden="1" customWidth="1"/>
    <col min="6157" max="6157" width="13.36328125" style="6" customWidth="1"/>
    <col min="6158" max="6158" width="12.36328125" style="6" bestFit="1" customWidth="1"/>
    <col min="6159" max="6159" width="13.08984375" style="6" bestFit="1" customWidth="1"/>
    <col min="6160" max="6160" width="9.08984375" style="6"/>
    <col min="6161" max="6167" width="0" style="6" hidden="1" customWidth="1"/>
    <col min="6168" max="6400" width="9.08984375" style="6"/>
    <col min="6401" max="6401" width="19.6328125" style="6" customWidth="1"/>
    <col min="6402" max="6402" width="63.08984375" style="6" customWidth="1"/>
    <col min="6403" max="6403" width="10" style="6" customWidth="1"/>
    <col min="6404" max="6404" width="11.90625" style="6" customWidth="1"/>
    <col min="6405" max="6405" width="16.6328125" style="6" customWidth="1"/>
    <col min="6406" max="6406" width="15.08984375" style="6" customWidth="1"/>
    <col min="6407" max="6407" width="0" style="6" hidden="1" customWidth="1"/>
    <col min="6408" max="6408" width="16" style="6" customWidth="1"/>
    <col min="6409" max="6412" width="0" style="6" hidden="1" customWidth="1"/>
    <col min="6413" max="6413" width="13.36328125" style="6" customWidth="1"/>
    <col min="6414" max="6414" width="12.36328125" style="6" bestFit="1" customWidth="1"/>
    <col min="6415" max="6415" width="13.08984375" style="6" bestFit="1" customWidth="1"/>
    <col min="6416" max="6416" width="9.08984375" style="6"/>
    <col min="6417" max="6423" width="0" style="6" hidden="1" customWidth="1"/>
    <col min="6424" max="6656" width="9.08984375" style="6"/>
    <col min="6657" max="6657" width="19.6328125" style="6" customWidth="1"/>
    <col min="6658" max="6658" width="63.08984375" style="6" customWidth="1"/>
    <col min="6659" max="6659" width="10" style="6" customWidth="1"/>
    <col min="6660" max="6660" width="11.90625" style="6" customWidth="1"/>
    <col min="6661" max="6661" width="16.6328125" style="6" customWidth="1"/>
    <col min="6662" max="6662" width="15.08984375" style="6" customWidth="1"/>
    <col min="6663" max="6663" width="0" style="6" hidden="1" customWidth="1"/>
    <col min="6664" max="6664" width="16" style="6" customWidth="1"/>
    <col min="6665" max="6668" width="0" style="6" hidden="1" customWidth="1"/>
    <col min="6669" max="6669" width="13.36328125" style="6" customWidth="1"/>
    <col min="6670" max="6670" width="12.36328125" style="6" bestFit="1" customWidth="1"/>
    <col min="6671" max="6671" width="13.08984375" style="6" bestFit="1" customWidth="1"/>
    <col min="6672" max="6672" width="9.08984375" style="6"/>
    <col min="6673" max="6679" width="0" style="6" hidden="1" customWidth="1"/>
    <col min="6680" max="6912" width="9.08984375" style="6"/>
    <col min="6913" max="6913" width="19.6328125" style="6" customWidth="1"/>
    <col min="6914" max="6914" width="63.08984375" style="6" customWidth="1"/>
    <col min="6915" max="6915" width="10" style="6" customWidth="1"/>
    <col min="6916" max="6916" width="11.90625" style="6" customWidth="1"/>
    <col min="6917" max="6917" width="16.6328125" style="6" customWidth="1"/>
    <col min="6918" max="6918" width="15.08984375" style="6" customWidth="1"/>
    <col min="6919" max="6919" width="0" style="6" hidden="1" customWidth="1"/>
    <col min="6920" max="6920" width="16" style="6" customWidth="1"/>
    <col min="6921" max="6924" width="0" style="6" hidden="1" customWidth="1"/>
    <col min="6925" max="6925" width="13.36328125" style="6" customWidth="1"/>
    <col min="6926" max="6926" width="12.36328125" style="6" bestFit="1" customWidth="1"/>
    <col min="6927" max="6927" width="13.08984375" style="6" bestFit="1" customWidth="1"/>
    <col min="6928" max="6928" width="9.08984375" style="6"/>
    <col min="6929" max="6935" width="0" style="6" hidden="1" customWidth="1"/>
    <col min="6936" max="7168" width="9.08984375" style="6"/>
    <col min="7169" max="7169" width="19.6328125" style="6" customWidth="1"/>
    <col min="7170" max="7170" width="63.08984375" style="6" customWidth="1"/>
    <col min="7171" max="7171" width="10" style="6" customWidth="1"/>
    <col min="7172" max="7172" width="11.90625" style="6" customWidth="1"/>
    <col min="7173" max="7173" width="16.6328125" style="6" customWidth="1"/>
    <col min="7174" max="7174" width="15.08984375" style="6" customWidth="1"/>
    <col min="7175" max="7175" width="0" style="6" hidden="1" customWidth="1"/>
    <col min="7176" max="7176" width="16" style="6" customWidth="1"/>
    <col min="7177" max="7180" width="0" style="6" hidden="1" customWidth="1"/>
    <col min="7181" max="7181" width="13.36328125" style="6" customWidth="1"/>
    <col min="7182" max="7182" width="12.36328125" style="6" bestFit="1" customWidth="1"/>
    <col min="7183" max="7183" width="13.08984375" style="6" bestFit="1" customWidth="1"/>
    <col min="7184" max="7184" width="9.08984375" style="6"/>
    <col min="7185" max="7191" width="0" style="6" hidden="1" customWidth="1"/>
    <col min="7192" max="7424" width="9.08984375" style="6"/>
    <col min="7425" max="7425" width="19.6328125" style="6" customWidth="1"/>
    <col min="7426" max="7426" width="63.08984375" style="6" customWidth="1"/>
    <col min="7427" max="7427" width="10" style="6" customWidth="1"/>
    <col min="7428" max="7428" width="11.90625" style="6" customWidth="1"/>
    <col min="7429" max="7429" width="16.6328125" style="6" customWidth="1"/>
    <col min="7430" max="7430" width="15.08984375" style="6" customWidth="1"/>
    <col min="7431" max="7431" width="0" style="6" hidden="1" customWidth="1"/>
    <col min="7432" max="7432" width="16" style="6" customWidth="1"/>
    <col min="7433" max="7436" width="0" style="6" hidden="1" customWidth="1"/>
    <col min="7437" max="7437" width="13.36328125" style="6" customWidth="1"/>
    <col min="7438" max="7438" width="12.36328125" style="6" bestFit="1" customWidth="1"/>
    <col min="7439" max="7439" width="13.08984375" style="6" bestFit="1" customWidth="1"/>
    <col min="7440" max="7440" width="9.08984375" style="6"/>
    <col min="7441" max="7447" width="0" style="6" hidden="1" customWidth="1"/>
    <col min="7448" max="7680" width="9.08984375" style="6"/>
    <col min="7681" max="7681" width="19.6328125" style="6" customWidth="1"/>
    <col min="7682" max="7682" width="63.08984375" style="6" customWidth="1"/>
    <col min="7683" max="7683" width="10" style="6" customWidth="1"/>
    <col min="7684" max="7684" width="11.90625" style="6" customWidth="1"/>
    <col min="7685" max="7685" width="16.6328125" style="6" customWidth="1"/>
    <col min="7686" max="7686" width="15.08984375" style="6" customWidth="1"/>
    <col min="7687" max="7687" width="0" style="6" hidden="1" customWidth="1"/>
    <col min="7688" max="7688" width="16" style="6" customWidth="1"/>
    <col min="7689" max="7692" width="0" style="6" hidden="1" customWidth="1"/>
    <col min="7693" max="7693" width="13.36328125" style="6" customWidth="1"/>
    <col min="7694" max="7694" width="12.36328125" style="6" bestFit="1" customWidth="1"/>
    <col min="7695" max="7695" width="13.08984375" style="6" bestFit="1" customWidth="1"/>
    <col min="7696" max="7696" width="9.08984375" style="6"/>
    <col min="7697" max="7703" width="0" style="6" hidden="1" customWidth="1"/>
    <col min="7704" max="7936" width="9.08984375" style="6"/>
    <col min="7937" max="7937" width="19.6328125" style="6" customWidth="1"/>
    <col min="7938" max="7938" width="63.08984375" style="6" customWidth="1"/>
    <col min="7939" max="7939" width="10" style="6" customWidth="1"/>
    <col min="7940" max="7940" width="11.90625" style="6" customWidth="1"/>
    <col min="7941" max="7941" width="16.6328125" style="6" customWidth="1"/>
    <col min="7942" max="7942" width="15.08984375" style="6" customWidth="1"/>
    <col min="7943" max="7943" width="0" style="6" hidden="1" customWidth="1"/>
    <col min="7944" max="7944" width="16" style="6" customWidth="1"/>
    <col min="7945" max="7948" width="0" style="6" hidden="1" customWidth="1"/>
    <col min="7949" max="7949" width="13.36328125" style="6" customWidth="1"/>
    <col min="7950" max="7950" width="12.36328125" style="6" bestFit="1" customWidth="1"/>
    <col min="7951" max="7951" width="13.08984375" style="6" bestFit="1" customWidth="1"/>
    <col min="7952" max="7952" width="9.08984375" style="6"/>
    <col min="7953" max="7959" width="0" style="6" hidden="1" customWidth="1"/>
    <col min="7960" max="8192" width="9.08984375" style="6"/>
    <col min="8193" max="8193" width="19.6328125" style="6" customWidth="1"/>
    <col min="8194" max="8194" width="63.08984375" style="6" customWidth="1"/>
    <col min="8195" max="8195" width="10" style="6" customWidth="1"/>
    <col min="8196" max="8196" width="11.90625" style="6" customWidth="1"/>
    <col min="8197" max="8197" width="16.6328125" style="6" customWidth="1"/>
    <col min="8198" max="8198" width="15.08984375" style="6" customWidth="1"/>
    <col min="8199" max="8199" width="0" style="6" hidden="1" customWidth="1"/>
    <col min="8200" max="8200" width="16" style="6" customWidth="1"/>
    <col min="8201" max="8204" width="0" style="6" hidden="1" customWidth="1"/>
    <col min="8205" max="8205" width="13.36328125" style="6" customWidth="1"/>
    <col min="8206" max="8206" width="12.36328125" style="6" bestFit="1" customWidth="1"/>
    <col min="8207" max="8207" width="13.08984375" style="6" bestFit="1" customWidth="1"/>
    <col min="8208" max="8208" width="9.08984375" style="6"/>
    <col min="8209" max="8215" width="0" style="6" hidden="1" customWidth="1"/>
    <col min="8216" max="8448" width="9.08984375" style="6"/>
    <col min="8449" max="8449" width="19.6328125" style="6" customWidth="1"/>
    <col min="8450" max="8450" width="63.08984375" style="6" customWidth="1"/>
    <col min="8451" max="8451" width="10" style="6" customWidth="1"/>
    <col min="8452" max="8452" width="11.90625" style="6" customWidth="1"/>
    <col min="8453" max="8453" width="16.6328125" style="6" customWidth="1"/>
    <col min="8454" max="8454" width="15.08984375" style="6" customWidth="1"/>
    <col min="8455" max="8455" width="0" style="6" hidden="1" customWidth="1"/>
    <col min="8456" max="8456" width="16" style="6" customWidth="1"/>
    <col min="8457" max="8460" width="0" style="6" hidden="1" customWidth="1"/>
    <col min="8461" max="8461" width="13.36328125" style="6" customWidth="1"/>
    <col min="8462" max="8462" width="12.36328125" style="6" bestFit="1" customWidth="1"/>
    <col min="8463" max="8463" width="13.08984375" style="6" bestFit="1" customWidth="1"/>
    <col min="8464" max="8464" width="9.08984375" style="6"/>
    <col min="8465" max="8471" width="0" style="6" hidden="1" customWidth="1"/>
    <col min="8472" max="8704" width="9.08984375" style="6"/>
    <col min="8705" max="8705" width="19.6328125" style="6" customWidth="1"/>
    <col min="8706" max="8706" width="63.08984375" style="6" customWidth="1"/>
    <col min="8707" max="8707" width="10" style="6" customWidth="1"/>
    <col min="8708" max="8708" width="11.90625" style="6" customWidth="1"/>
    <col min="8709" max="8709" width="16.6328125" style="6" customWidth="1"/>
    <col min="8710" max="8710" width="15.08984375" style="6" customWidth="1"/>
    <col min="8711" max="8711" width="0" style="6" hidden="1" customWidth="1"/>
    <col min="8712" max="8712" width="16" style="6" customWidth="1"/>
    <col min="8713" max="8716" width="0" style="6" hidden="1" customWidth="1"/>
    <col min="8717" max="8717" width="13.36328125" style="6" customWidth="1"/>
    <col min="8718" max="8718" width="12.36328125" style="6" bestFit="1" customWidth="1"/>
    <col min="8719" max="8719" width="13.08984375" style="6" bestFit="1" customWidth="1"/>
    <col min="8720" max="8720" width="9.08984375" style="6"/>
    <col min="8721" max="8727" width="0" style="6" hidden="1" customWidth="1"/>
    <col min="8728" max="8960" width="9.08984375" style="6"/>
    <col min="8961" max="8961" width="19.6328125" style="6" customWidth="1"/>
    <col min="8962" max="8962" width="63.08984375" style="6" customWidth="1"/>
    <col min="8963" max="8963" width="10" style="6" customWidth="1"/>
    <col min="8964" max="8964" width="11.90625" style="6" customWidth="1"/>
    <col min="8965" max="8965" width="16.6328125" style="6" customWidth="1"/>
    <col min="8966" max="8966" width="15.08984375" style="6" customWidth="1"/>
    <col min="8967" max="8967" width="0" style="6" hidden="1" customWidth="1"/>
    <col min="8968" max="8968" width="16" style="6" customWidth="1"/>
    <col min="8969" max="8972" width="0" style="6" hidden="1" customWidth="1"/>
    <col min="8973" max="8973" width="13.36328125" style="6" customWidth="1"/>
    <col min="8974" max="8974" width="12.36328125" style="6" bestFit="1" customWidth="1"/>
    <col min="8975" max="8975" width="13.08984375" style="6" bestFit="1" customWidth="1"/>
    <col min="8976" max="8976" width="9.08984375" style="6"/>
    <col min="8977" max="8983" width="0" style="6" hidden="1" customWidth="1"/>
    <col min="8984" max="9216" width="9.08984375" style="6"/>
    <col min="9217" max="9217" width="19.6328125" style="6" customWidth="1"/>
    <col min="9218" max="9218" width="63.08984375" style="6" customWidth="1"/>
    <col min="9219" max="9219" width="10" style="6" customWidth="1"/>
    <col min="9220" max="9220" width="11.90625" style="6" customWidth="1"/>
    <col min="9221" max="9221" width="16.6328125" style="6" customWidth="1"/>
    <col min="9222" max="9222" width="15.08984375" style="6" customWidth="1"/>
    <col min="9223" max="9223" width="0" style="6" hidden="1" customWidth="1"/>
    <col min="9224" max="9224" width="16" style="6" customWidth="1"/>
    <col min="9225" max="9228" width="0" style="6" hidden="1" customWidth="1"/>
    <col min="9229" max="9229" width="13.36328125" style="6" customWidth="1"/>
    <col min="9230" max="9230" width="12.36328125" style="6" bestFit="1" customWidth="1"/>
    <col min="9231" max="9231" width="13.08984375" style="6" bestFit="1" customWidth="1"/>
    <col min="9232" max="9232" width="9.08984375" style="6"/>
    <col min="9233" max="9239" width="0" style="6" hidden="1" customWidth="1"/>
    <col min="9240" max="9472" width="9.08984375" style="6"/>
    <col min="9473" max="9473" width="19.6328125" style="6" customWidth="1"/>
    <col min="9474" max="9474" width="63.08984375" style="6" customWidth="1"/>
    <col min="9475" max="9475" width="10" style="6" customWidth="1"/>
    <col min="9476" max="9476" width="11.90625" style="6" customWidth="1"/>
    <col min="9477" max="9477" width="16.6328125" style="6" customWidth="1"/>
    <col min="9478" max="9478" width="15.08984375" style="6" customWidth="1"/>
    <col min="9479" max="9479" width="0" style="6" hidden="1" customWidth="1"/>
    <col min="9480" max="9480" width="16" style="6" customWidth="1"/>
    <col min="9481" max="9484" width="0" style="6" hidden="1" customWidth="1"/>
    <col min="9485" max="9485" width="13.36328125" style="6" customWidth="1"/>
    <col min="9486" max="9486" width="12.36328125" style="6" bestFit="1" customWidth="1"/>
    <col min="9487" max="9487" width="13.08984375" style="6" bestFit="1" customWidth="1"/>
    <col min="9488" max="9488" width="9.08984375" style="6"/>
    <col min="9489" max="9495" width="0" style="6" hidden="1" customWidth="1"/>
    <col min="9496" max="9728" width="9.08984375" style="6"/>
    <col min="9729" max="9729" width="19.6328125" style="6" customWidth="1"/>
    <col min="9730" max="9730" width="63.08984375" style="6" customWidth="1"/>
    <col min="9731" max="9731" width="10" style="6" customWidth="1"/>
    <col min="9732" max="9732" width="11.90625" style="6" customWidth="1"/>
    <col min="9733" max="9733" width="16.6328125" style="6" customWidth="1"/>
    <col min="9734" max="9734" width="15.08984375" style="6" customWidth="1"/>
    <col min="9735" max="9735" width="0" style="6" hidden="1" customWidth="1"/>
    <col min="9736" max="9736" width="16" style="6" customWidth="1"/>
    <col min="9737" max="9740" width="0" style="6" hidden="1" customWidth="1"/>
    <col min="9741" max="9741" width="13.36328125" style="6" customWidth="1"/>
    <col min="9742" max="9742" width="12.36328125" style="6" bestFit="1" customWidth="1"/>
    <col min="9743" max="9743" width="13.08984375" style="6" bestFit="1" customWidth="1"/>
    <col min="9744" max="9744" width="9.08984375" style="6"/>
    <col min="9745" max="9751" width="0" style="6" hidden="1" customWidth="1"/>
    <col min="9752" max="9984" width="9.08984375" style="6"/>
    <col min="9985" max="9985" width="19.6328125" style="6" customWidth="1"/>
    <col min="9986" max="9986" width="63.08984375" style="6" customWidth="1"/>
    <col min="9987" max="9987" width="10" style="6" customWidth="1"/>
    <col min="9988" max="9988" width="11.90625" style="6" customWidth="1"/>
    <col min="9989" max="9989" width="16.6328125" style="6" customWidth="1"/>
    <col min="9990" max="9990" width="15.08984375" style="6" customWidth="1"/>
    <col min="9991" max="9991" width="0" style="6" hidden="1" customWidth="1"/>
    <col min="9992" max="9992" width="16" style="6" customWidth="1"/>
    <col min="9993" max="9996" width="0" style="6" hidden="1" customWidth="1"/>
    <col min="9997" max="9997" width="13.36328125" style="6" customWidth="1"/>
    <col min="9998" max="9998" width="12.36328125" style="6" bestFit="1" customWidth="1"/>
    <col min="9999" max="9999" width="13.08984375" style="6" bestFit="1" customWidth="1"/>
    <col min="10000" max="10000" width="9.08984375" style="6"/>
    <col min="10001" max="10007" width="0" style="6" hidden="1" customWidth="1"/>
    <col min="10008" max="10240" width="9.08984375" style="6"/>
    <col min="10241" max="10241" width="19.6328125" style="6" customWidth="1"/>
    <col min="10242" max="10242" width="63.08984375" style="6" customWidth="1"/>
    <col min="10243" max="10243" width="10" style="6" customWidth="1"/>
    <col min="10244" max="10244" width="11.90625" style="6" customWidth="1"/>
    <col min="10245" max="10245" width="16.6328125" style="6" customWidth="1"/>
    <col min="10246" max="10246" width="15.08984375" style="6" customWidth="1"/>
    <col min="10247" max="10247" width="0" style="6" hidden="1" customWidth="1"/>
    <col min="10248" max="10248" width="16" style="6" customWidth="1"/>
    <col min="10249" max="10252" width="0" style="6" hidden="1" customWidth="1"/>
    <col min="10253" max="10253" width="13.36328125" style="6" customWidth="1"/>
    <col min="10254" max="10254" width="12.36328125" style="6" bestFit="1" customWidth="1"/>
    <col min="10255" max="10255" width="13.08984375" style="6" bestFit="1" customWidth="1"/>
    <col min="10256" max="10256" width="9.08984375" style="6"/>
    <col min="10257" max="10263" width="0" style="6" hidden="1" customWidth="1"/>
    <col min="10264" max="10496" width="9.08984375" style="6"/>
    <col min="10497" max="10497" width="19.6328125" style="6" customWidth="1"/>
    <col min="10498" max="10498" width="63.08984375" style="6" customWidth="1"/>
    <col min="10499" max="10499" width="10" style="6" customWidth="1"/>
    <col min="10500" max="10500" width="11.90625" style="6" customWidth="1"/>
    <col min="10501" max="10501" width="16.6328125" style="6" customWidth="1"/>
    <col min="10502" max="10502" width="15.08984375" style="6" customWidth="1"/>
    <col min="10503" max="10503" width="0" style="6" hidden="1" customWidth="1"/>
    <col min="10504" max="10504" width="16" style="6" customWidth="1"/>
    <col min="10505" max="10508" width="0" style="6" hidden="1" customWidth="1"/>
    <col min="10509" max="10509" width="13.36328125" style="6" customWidth="1"/>
    <col min="10510" max="10510" width="12.36328125" style="6" bestFit="1" customWidth="1"/>
    <col min="10511" max="10511" width="13.08984375" style="6" bestFit="1" customWidth="1"/>
    <col min="10512" max="10512" width="9.08984375" style="6"/>
    <col min="10513" max="10519" width="0" style="6" hidden="1" customWidth="1"/>
    <col min="10520" max="10752" width="9.08984375" style="6"/>
    <col min="10753" max="10753" width="19.6328125" style="6" customWidth="1"/>
    <col min="10754" max="10754" width="63.08984375" style="6" customWidth="1"/>
    <col min="10755" max="10755" width="10" style="6" customWidth="1"/>
    <col min="10756" max="10756" width="11.90625" style="6" customWidth="1"/>
    <col min="10757" max="10757" width="16.6328125" style="6" customWidth="1"/>
    <col min="10758" max="10758" width="15.08984375" style="6" customWidth="1"/>
    <col min="10759" max="10759" width="0" style="6" hidden="1" customWidth="1"/>
    <col min="10760" max="10760" width="16" style="6" customWidth="1"/>
    <col min="10761" max="10764" width="0" style="6" hidden="1" customWidth="1"/>
    <col min="10765" max="10765" width="13.36328125" style="6" customWidth="1"/>
    <col min="10766" max="10766" width="12.36328125" style="6" bestFit="1" customWidth="1"/>
    <col min="10767" max="10767" width="13.08984375" style="6" bestFit="1" customWidth="1"/>
    <col min="10768" max="10768" width="9.08984375" style="6"/>
    <col min="10769" max="10775" width="0" style="6" hidden="1" customWidth="1"/>
    <col min="10776" max="11008" width="9.08984375" style="6"/>
    <col min="11009" max="11009" width="19.6328125" style="6" customWidth="1"/>
    <col min="11010" max="11010" width="63.08984375" style="6" customWidth="1"/>
    <col min="11011" max="11011" width="10" style="6" customWidth="1"/>
    <col min="11012" max="11012" width="11.90625" style="6" customWidth="1"/>
    <col min="11013" max="11013" width="16.6328125" style="6" customWidth="1"/>
    <col min="11014" max="11014" width="15.08984375" style="6" customWidth="1"/>
    <col min="11015" max="11015" width="0" style="6" hidden="1" customWidth="1"/>
    <col min="11016" max="11016" width="16" style="6" customWidth="1"/>
    <col min="11017" max="11020" width="0" style="6" hidden="1" customWidth="1"/>
    <col min="11021" max="11021" width="13.36328125" style="6" customWidth="1"/>
    <col min="11022" max="11022" width="12.36328125" style="6" bestFit="1" customWidth="1"/>
    <col min="11023" max="11023" width="13.08984375" style="6" bestFit="1" customWidth="1"/>
    <col min="11024" max="11024" width="9.08984375" style="6"/>
    <col min="11025" max="11031" width="0" style="6" hidden="1" customWidth="1"/>
    <col min="11032" max="11264" width="9.08984375" style="6"/>
    <col min="11265" max="11265" width="19.6328125" style="6" customWidth="1"/>
    <col min="11266" max="11266" width="63.08984375" style="6" customWidth="1"/>
    <col min="11267" max="11267" width="10" style="6" customWidth="1"/>
    <col min="11268" max="11268" width="11.90625" style="6" customWidth="1"/>
    <col min="11269" max="11269" width="16.6328125" style="6" customWidth="1"/>
    <col min="11270" max="11270" width="15.08984375" style="6" customWidth="1"/>
    <col min="11271" max="11271" width="0" style="6" hidden="1" customWidth="1"/>
    <col min="11272" max="11272" width="16" style="6" customWidth="1"/>
    <col min="11273" max="11276" width="0" style="6" hidden="1" customWidth="1"/>
    <col min="11277" max="11277" width="13.36328125" style="6" customWidth="1"/>
    <col min="11278" max="11278" width="12.36328125" style="6" bestFit="1" customWidth="1"/>
    <col min="11279" max="11279" width="13.08984375" style="6" bestFit="1" customWidth="1"/>
    <col min="11280" max="11280" width="9.08984375" style="6"/>
    <col min="11281" max="11287" width="0" style="6" hidden="1" customWidth="1"/>
    <col min="11288" max="11520" width="9.08984375" style="6"/>
    <col min="11521" max="11521" width="19.6328125" style="6" customWidth="1"/>
    <col min="11522" max="11522" width="63.08984375" style="6" customWidth="1"/>
    <col min="11523" max="11523" width="10" style="6" customWidth="1"/>
    <col min="11524" max="11524" width="11.90625" style="6" customWidth="1"/>
    <col min="11525" max="11525" width="16.6328125" style="6" customWidth="1"/>
    <col min="11526" max="11526" width="15.08984375" style="6" customWidth="1"/>
    <col min="11527" max="11527" width="0" style="6" hidden="1" customWidth="1"/>
    <col min="11528" max="11528" width="16" style="6" customWidth="1"/>
    <col min="11529" max="11532" width="0" style="6" hidden="1" customWidth="1"/>
    <col min="11533" max="11533" width="13.36328125" style="6" customWidth="1"/>
    <col min="11534" max="11534" width="12.36328125" style="6" bestFit="1" customWidth="1"/>
    <col min="11535" max="11535" width="13.08984375" style="6" bestFit="1" customWidth="1"/>
    <col min="11536" max="11536" width="9.08984375" style="6"/>
    <col min="11537" max="11543" width="0" style="6" hidden="1" customWidth="1"/>
    <col min="11544" max="11776" width="9.08984375" style="6"/>
    <col min="11777" max="11777" width="19.6328125" style="6" customWidth="1"/>
    <col min="11778" max="11778" width="63.08984375" style="6" customWidth="1"/>
    <col min="11779" max="11779" width="10" style="6" customWidth="1"/>
    <col min="11780" max="11780" width="11.90625" style="6" customWidth="1"/>
    <col min="11781" max="11781" width="16.6328125" style="6" customWidth="1"/>
    <col min="11782" max="11782" width="15.08984375" style="6" customWidth="1"/>
    <col min="11783" max="11783" width="0" style="6" hidden="1" customWidth="1"/>
    <col min="11784" max="11784" width="16" style="6" customWidth="1"/>
    <col min="11785" max="11788" width="0" style="6" hidden="1" customWidth="1"/>
    <col min="11789" max="11789" width="13.36328125" style="6" customWidth="1"/>
    <col min="11790" max="11790" width="12.36328125" style="6" bestFit="1" customWidth="1"/>
    <col min="11791" max="11791" width="13.08984375" style="6" bestFit="1" customWidth="1"/>
    <col min="11792" max="11792" width="9.08984375" style="6"/>
    <col min="11793" max="11799" width="0" style="6" hidden="1" customWidth="1"/>
    <col min="11800" max="12032" width="9.08984375" style="6"/>
    <col min="12033" max="12033" width="19.6328125" style="6" customWidth="1"/>
    <col min="12034" max="12034" width="63.08984375" style="6" customWidth="1"/>
    <col min="12035" max="12035" width="10" style="6" customWidth="1"/>
    <col min="12036" max="12036" width="11.90625" style="6" customWidth="1"/>
    <col min="12037" max="12037" width="16.6328125" style="6" customWidth="1"/>
    <col min="12038" max="12038" width="15.08984375" style="6" customWidth="1"/>
    <col min="12039" max="12039" width="0" style="6" hidden="1" customWidth="1"/>
    <col min="12040" max="12040" width="16" style="6" customWidth="1"/>
    <col min="12041" max="12044" width="0" style="6" hidden="1" customWidth="1"/>
    <col min="12045" max="12045" width="13.36328125" style="6" customWidth="1"/>
    <col min="12046" max="12046" width="12.36328125" style="6" bestFit="1" customWidth="1"/>
    <col min="12047" max="12047" width="13.08984375" style="6" bestFit="1" customWidth="1"/>
    <col min="12048" max="12048" width="9.08984375" style="6"/>
    <col min="12049" max="12055" width="0" style="6" hidden="1" customWidth="1"/>
    <col min="12056" max="12288" width="9.08984375" style="6"/>
    <col min="12289" max="12289" width="19.6328125" style="6" customWidth="1"/>
    <col min="12290" max="12290" width="63.08984375" style="6" customWidth="1"/>
    <col min="12291" max="12291" width="10" style="6" customWidth="1"/>
    <col min="12292" max="12292" width="11.90625" style="6" customWidth="1"/>
    <col min="12293" max="12293" width="16.6328125" style="6" customWidth="1"/>
    <col min="12294" max="12294" width="15.08984375" style="6" customWidth="1"/>
    <col min="12295" max="12295" width="0" style="6" hidden="1" customWidth="1"/>
    <col min="12296" max="12296" width="16" style="6" customWidth="1"/>
    <col min="12297" max="12300" width="0" style="6" hidden="1" customWidth="1"/>
    <col min="12301" max="12301" width="13.36328125" style="6" customWidth="1"/>
    <col min="12302" max="12302" width="12.36328125" style="6" bestFit="1" customWidth="1"/>
    <col min="12303" max="12303" width="13.08984375" style="6" bestFit="1" customWidth="1"/>
    <col min="12304" max="12304" width="9.08984375" style="6"/>
    <col min="12305" max="12311" width="0" style="6" hidden="1" customWidth="1"/>
    <col min="12312" max="12544" width="9.08984375" style="6"/>
    <col min="12545" max="12545" width="19.6328125" style="6" customWidth="1"/>
    <col min="12546" max="12546" width="63.08984375" style="6" customWidth="1"/>
    <col min="12547" max="12547" width="10" style="6" customWidth="1"/>
    <col min="12548" max="12548" width="11.90625" style="6" customWidth="1"/>
    <col min="12549" max="12549" width="16.6328125" style="6" customWidth="1"/>
    <col min="12550" max="12550" width="15.08984375" style="6" customWidth="1"/>
    <col min="12551" max="12551" width="0" style="6" hidden="1" customWidth="1"/>
    <col min="12552" max="12552" width="16" style="6" customWidth="1"/>
    <col min="12553" max="12556" width="0" style="6" hidden="1" customWidth="1"/>
    <col min="12557" max="12557" width="13.36328125" style="6" customWidth="1"/>
    <col min="12558" max="12558" width="12.36328125" style="6" bestFit="1" customWidth="1"/>
    <col min="12559" max="12559" width="13.08984375" style="6" bestFit="1" customWidth="1"/>
    <col min="12560" max="12560" width="9.08984375" style="6"/>
    <col min="12561" max="12567" width="0" style="6" hidden="1" customWidth="1"/>
    <col min="12568" max="12800" width="9.08984375" style="6"/>
    <col min="12801" max="12801" width="19.6328125" style="6" customWidth="1"/>
    <col min="12802" max="12802" width="63.08984375" style="6" customWidth="1"/>
    <col min="12803" max="12803" width="10" style="6" customWidth="1"/>
    <col min="12804" max="12804" width="11.90625" style="6" customWidth="1"/>
    <col min="12805" max="12805" width="16.6328125" style="6" customWidth="1"/>
    <col min="12806" max="12806" width="15.08984375" style="6" customWidth="1"/>
    <col min="12807" max="12807" width="0" style="6" hidden="1" customWidth="1"/>
    <col min="12808" max="12808" width="16" style="6" customWidth="1"/>
    <col min="12809" max="12812" width="0" style="6" hidden="1" customWidth="1"/>
    <col min="12813" max="12813" width="13.36328125" style="6" customWidth="1"/>
    <col min="12814" max="12814" width="12.36328125" style="6" bestFit="1" customWidth="1"/>
    <col min="12815" max="12815" width="13.08984375" style="6" bestFit="1" customWidth="1"/>
    <col min="12816" max="12816" width="9.08984375" style="6"/>
    <col min="12817" max="12823" width="0" style="6" hidden="1" customWidth="1"/>
    <col min="12824" max="13056" width="9.08984375" style="6"/>
    <col min="13057" max="13057" width="19.6328125" style="6" customWidth="1"/>
    <col min="13058" max="13058" width="63.08984375" style="6" customWidth="1"/>
    <col min="13059" max="13059" width="10" style="6" customWidth="1"/>
    <col min="13060" max="13060" width="11.90625" style="6" customWidth="1"/>
    <col min="13061" max="13061" width="16.6328125" style="6" customWidth="1"/>
    <col min="13062" max="13062" width="15.08984375" style="6" customWidth="1"/>
    <col min="13063" max="13063" width="0" style="6" hidden="1" customWidth="1"/>
    <col min="13064" max="13064" width="16" style="6" customWidth="1"/>
    <col min="13065" max="13068" width="0" style="6" hidden="1" customWidth="1"/>
    <col min="13069" max="13069" width="13.36328125" style="6" customWidth="1"/>
    <col min="13070" max="13070" width="12.36328125" style="6" bestFit="1" customWidth="1"/>
    <col min="13071" max="13071" width="13.08984375" style="6" bestFit="1" customWidth="1"/>
    <col min="13072" max="13072" width="9.08984375" style="6"/>
    <col min="13073" max="13079" width="0" style="6" hidden="1" customWidth="1"/>
    <col min="13080" max="13312" width="9.08984375" style="6"/>
    <col min="13313" max="13313" width="19.6328125" style="6" customWidth="1"/>
    <col min="13314" max="13314" width="63.08984375" style="6" customWidth="1"/>
    <col min="13315" max="13315" width="10" style="6" customWidth="1"/>
    <col min="13316" max="13316" width="11.90625" style="6" customWidth="1"/>
    <col min="13317" max="13317" width="16.6328125" style="6" customWidth="1"/>
    <col min="13318" max="13318" width="15.08984375" style="6" customWidth="1"/>
    <col min="13319" max="13319" width="0" style="6" hidden="1" customWidth="1"/>
    <col min="13320" max="13320" width="16" style="6" customWidth="1"/>
    <col min="13321" max="13324" width="0" style="6" hidden="1" customWidth="1"/>
    <col min="13325" max="13325" width="13.36328125" style="6" customWidth="1"/>
    <col min="13326" max="13326" width="12.36328125" style="6" bestFit="1" customWidth="1"/>
    <col min="13327" max="13327" width="13.08984375" style="6" bestFit="1" customWidth="1"/>
    <col min="13328" max="13328" width="9.08984375" style="6"/>
    <col min="13329" max="13335" width="0" style="6" hidden="1" customWidth="1"/>
    <col min="13336" max="13568" width="9.08984375" style="6"/>
    <col min="13569" max="13569" width="19.6328125" style="6" customWidth="1"/>
    <col min="13570" max="13570" width="63.08984375" style="6" customWidth="1"/>
    <col min="13571" max="13571" width="10" style="6" customWidth="1"/>
    <col min="13572" max="13572" width="11.90625" style="6" customWidth="1"/>
    <col min="13573" max="13573" width="16.6328125" style="6" customWidth="1"/>
    <col min="13574" max="13574" width="15.08984375" style="6" customWidth="1"/>
    <col min="13575" max="13575" width="0" style="6" hidden="1" customWidth="1"/>
    <col min="13576" max="13576" width="16" style="6" customWidth="1"/>
    <col min="13577" max="13580" width="0" style="6" hidden="1" customWidth="1"/>
    <col min="13581" max="13581" width="13.36328125" style="6" customWidth="1"/>
    <col min="13582" max="13582" width="12.36328125" style="6" bestFit="1" customWidth="1"/>
    <col min="13583" max="13583" width="13.08984375" style="6" bestFit="1" customWidth="1"/>
    <col min="13584" max="13584" width="9.08984375" style="6"/>
    <col min="13585" max="13591" width="0" style="6" hidden="1" customWidth="1"/>
    <col min="13592" max="13824" width="9.08984375" style="6"/>
    <col min="13825" max="13825" width="19.6328125" style="6" customWidth="1"/>
    <col min="13826" max="13826" width="63.08984375" style="6" customWidth="1"/>
    <col min="13827" max="13827" width="10" style="6" customWidth="1"/>
    <col min="13828" max="13828" width="11.90625" style="6" customWidth="1"/>
    <col min="13829" max="13829" width="16.6328125" style="6" customWidth="1"/>
    <col min="13830" max="13830" width="15.08984375" style="6" customWidth="1"/>
    <col min="13831" max="13831" width="0" style="6" hidden="1" customWidth="1"/>
    <col min="13832" max="13832" width="16" style="6" customWidth="1"/>
    <col min="13833" max="13836" width="0" style="6" hidden="1" customWidth="1"/>
    <col min="13837" max="13837" width="13.36328125" style="6" customWidth="1"/>
    <col min="13838" max="13838" width="12.36328125" style="6" bestFit="1" customWidth="1"/>
    <col min="13839" max="13839" width="13.08984375" style="6" bestFit="1" customWidth="1"/>
    <col min="13840" max="13840" width="9.08984375" style="6"/>
    <col min="13841" max="13847" width="0" style="6" hidden="1" customWidth="1"/>
    <col min="13848" max="14080" width="9.08984375" style="6"/>
    <col min="14081" max="14081" width="19.6328125" style="6" customWidth="1"/>
    <col min="14082" max="14082" width="63.08984375" style="6" customWidth="1"/>
    <col min="14083" max="14083" width="10" style="6" customWidth="1"/>
    <col min="14084" max="14084" width="11.90625" style="6" customWidth="1"/>
    <col min="14085" max="14085" width="16.6328125" style="6" customWidth="1"/>
    <col min="14086" max="14086" width="15.08984375" style="6" customWidth="1"/>
    <col min="14087" max="14087" width="0" style="6" hidden="1" customWidth="1"/>
    <col min="14088" max="14088" width="16" style="6" customWidth="1"/>
    <col min="14089" max="14092" width="0" style="6" hidden="1" customWidth="1"/>
    <col min="14093" max="14093" width="13.36328125" style="6" customWidth="1"/>
    <col min="14094" max="14094" width="12.36328125" style="6" bestFit="1" customWidth="1"/>
    <col min="14095" max="14095" width="13.08984375" style="6" bestFit="1" customWidth="1"/>
    <col min="14096" max="14096" width="9.08984375" style="6"/>
    <col min="14097" max="14103" width="0" style="6" hidden="1" customWidth="1"/>
    <col min="14104" max="14336" width="9.08984375" style="6"/>
    <col min="14337" max="14337" width="19.6328125" style="6" customWidth="1"/>
    <col min="14338" max="14338" width="63.08984375" style="6" customWidth="1"/>
    <col min="14339" max="14339" width="10" style="6" customWidth="1"/>
    <col min="14340" max="14340" width="11.90625" style="6" customWidth="1"/>
    <col min="14341" max="14341" width="16.6328125" style="6" customWidth="1"/>
    <col min="14342" max="14342" width="15.08984375" style="6" customWidth="1"/>
    <col min="14343" max="14343" width="0" style="6" hidden="1" customWidth="1"/>
    <col min="14344" max="14344" width="16" style="6" customWidth="1"/>
    <col min="14345" max="14348" width="0" style="6" hidden="1" customWidth="1"/>
    <col min="14349" max="14349" width="13.36328125" style="6" customWidth="1"/>
    <col min="14350" max="14350" width="12.36328125" style="6" bestFit="1" customWidth="1"/>
    <col min="14351" max="14351" width="13.08984375" style="6" bestFit="1" customWidth="1"/>
    <col min="14352" max="14352" width="9.08984375" style="6"/>
    <col min="14353" max="14359" width="0" style="6" hidden="1" customWidth="1"/>
    <col min="14360" max="14592" width="9.08984375" style="6"/>
    <col min="14593" max="14593" width="19.6328125" style="6" customWidth="1"/>
    <col min="14594" max="14594" width="63.08984375" style="6" customWidth="1"/>
    <col min="14595" max="14595" width="10" style="6" customWidth="1"/>
    <col min="14596" max="14596" width="11.90625" style="6" customWidth="1"/>
    <col min="14597" max="14597" width="16.6328125" style="6" customWidth="1"/>
    <col min="14598" max="14598" width="15.08984375" style="6" customWidth="1"/>
    <col min="14599" max="14599" width="0" style="6" hidden="1" customWidth="1"/>
    <col min="14600" max="14600" width="16" style="6" customWidth="1"/>
    <col min="14601" max="14604" width="0" style="6" hidden="1" customWidth="1"/>
    <col min="14605" max="14605" width="13.36328125" style="6" customWidth="1"/>
    <col min="14606" max="14606" width="12.36328125" style="6" bestFit="1" customWidth="1"/>
    <col min="14607" max="14607" width="13.08984375" style="6" bestFit="1" customWidth="1"/>
    <col min="14608" max="14608" width="9.08984375" style="6"/>
    <col min="14609" max="14615" width="0" style="6" hidden="1" customWidth="1"/>
    <col min="14616" max="14848" width="9.08984375" style="6"/>
    <col min="14849" max="14849" width="19.6328125" style="6" customWidth="1"/>
    <col min="14850" max="14850" width="63.08984375" style="6" customWidth="1"/>
    <col min="14851" max="14851" width="10" style="6" customWidth="1"/>
    <col min="14852" max="14852" width="11.90625" style="6" customWidth="1"/>
    <col min="14853" max="14853" width="16.6328125" style="6" customWidth="1"/>
    <col min="14854" max="14854" width="15.08984375" style="6" customWidth="1"/>
    <col min="14855" max="14855" width="0" style="6" hidden="1" customWidth="1"/>
    <col min="14856" max="14856" width="16" style="6" customWidth="1"/>
    <col min="14857" max="14860" width="0" style="6" hidden="1" customWidth="1"/>
    <col min="14861" max="14861" width="13.36328125" style="6" customWidth="1"/>
    <col min="14862" max="14862" width="12.36328125" style="6" bestFit="1" customWidth="1"/>
    <col min="14863" max="14863" width="13.08984375" style="6" bestFit="1" customWidth="1"/>
    <col min="14864" max="14864" width="9.08984375" style="6"/>
    <col min="14865" max="14871" width="0" style="6" hidden="1" customWidth="1"/>
    <col min="14872" max="15104" width="9.08984375" style="6"/>
    <col min="15105" max="15105" width="19.6328125" style="6" customWidth="1"/>
    <col min="15106" max="15106" width="63.08984375" style="6" customWidth="1"/>
    <col min="15107" max="15107" width="10" style="6" customWidth="1"/>
    <col min="15108" max="15108" width="11.90625" style="6" customWidth="1"/>
    <col min="15109" max="15109" width="16.6328125" style="6" customWidth="1"/>
    <col min="15110" max="15110" width="15.08984375" style="6" customWidth="1"/>
    <col min="15111" max="15111" width="0" style="6" hidden="1" customWidth="1"/>
    <col min="15112" max="15112" width="16" style="6" customWidth="1"/>
    <col min="15113" max="15116" width="0" style="6" hidden="1" customWidth="1"/>
    <col min="15117" max="15117" width="13.36328125" style="6" customWidth="1"/>
    <col min="15118" max="15118" width="12.36328125" style="6" bestFit="1" customWidth="1"/>
    <col min="15119" max="15119" width="13.08984375" style="6" bestFit="1" customWidth="1"/>
    <col min="15120" max="15120" width="9.08984375" style="6"/>
    <col min="15121" max="15127" width="0" style="6" hidden="1" customWidth="1"/>
    <col min="15128" max="15360" width="9.08984375" style="6"/>
    <col min="15361" max="15361" width="19.6328125" style="6" customWidth="1"/>
    <col min="15362" max="15362" width="63.08984375" style="6" customWidth="1"/>
    <col min="15363" max="15363" width="10" style="6" customWidth="1"/>
    <col min="15364" max="15364" width="11.90625" style="6" customWidth="1"/>
    <col min="15365" max="15365" width="16.6328125" style="6" customWidth="1"/>
    <col min="15366" max="15366" width="15.08984375" style="6" customWidth="1"/>
    <col min="15367" max="15367" width="0" style="6" hidden="1" customWidth="1"/>
    <col min="15368" max="15368" width="16" style="6" customWidth="1"/>
    <col min="15369" max="15372" width="0" style="6" hidden="1" customWidth="1"/>
    <col min="15373" max="15373" width="13.36328125" style="6" customWidth="1"/>
    <col min="15374" max="15374" width="12.36328125" style="6" bestFit="1" customWidth="1"/>
    <col min="15375" max="15375" width="13.08984375" style="6" bestFit="1" customWidth="1"/>
    <col min="15376" max="15376" width="9.08984375" style="6"/>
    <col min="15377" max="15383" width="0" style="6" hidden="1" customWidth="1"/>
    <col min="15384" max="15616" width="9.08984375" style="6"/>
    <col min="15617" max="15617" width="19.6328125" style="6" customWidth="1"/>
    <col min="15618" max="15618" width="63.08984375" style="6" customWidth="1"/>
    <col min="15619" max="15619" width="10" style="6" customWidth="1"/>
    <col min="15620" max="15620" width="11.90625" style="6" customWidth="1"/>
    <col min="15621" max="15621" width="16.6328125" style="6" customWidth="1"/>
    <col min="15622" max="15622" width="15.08984375" style="6" customWidth="1"/>
    <col min="15623" max="15623" width="0" style="6" hidden="1" customWidth="1"/>
    <col min="15624" max="15624" width="16" style="6" customWidth="1"/>
    <col min="15625" max="15628" width="0" style="6" hidden="1" customWidth="1"/>
    <col min="15629" max="15629" width="13.36328125" style="6" customWidth="1"/>
    <col min="15630" max="15630" width="12.36328125" style="6" bestFit="1" customWidth="1"/>
    <col min="15631" max="15631" width="13.08984375" style="6" bestFit="1" customWidth="1"/>
    <col min="15632" max="15632" width="9.08984375" style="6"/>
    <col min="15633" max="15639" width="0" style="6" hidden="1" customWidth="1"/>
    <col min="15640" max="15872" width="9.08984375" style="6"/>
    <col min="15873" max="15873" width="19.6328125" style="6" customWidth="1"/>
    <col min="15874" max="15874" width="63.08984375" style="6" customWidth="1"/>
    <col min="15875" max="15875" width="10" style="6" customWidth="1"/>
    <col min="15876" max="15876" width="11.90625" style="6" customWidth="1"/>
    <col min="15877" max="15877" width="16.6328125" style="6" customWidth="1"/>
    <col min="15878" max="15878" width="15.08984375" style="6" customWidth="1"/>
    <col min="15879" max="15879" width="0" style="6" hidden="1" customWidth="1"/>
    <col min="15880" max="15880" width="16" style="6" customWidth="1"/>
    <col min="15881" max="15884" width="0" style="6" hidden="1" customWidth="1"/>
    <col min="15885" max="15885" width="13.36328125" style="6" customWidth="1"/>
    <col min="15886" max="15886" width="12.36328125" style="6" bestFit="1" customWidth="1"/>
    <col min="15887" max="15887" width="13.08984375" style="6" bestFit="1" customWidth="1"/>
    <col min="15888" max="15888" width="9.08984375" style="6"/>
    <col min="15889" max="15895" width="0" style="6" hidden="1" customWidth="1"/>
    <col min="15896" max="16128" width="9.08984375" style="6"/>
    <col min="16129" max="16129" width="19.6328125" style="6" customWidth="1"/>
    <col min="16130" max="16130" width="63.08984375" style="6" customWidth="1"/>
    <col min="16131" max="16131" width="10" style="6" customWidth="1"/>
    <col min="16132" max="16132" width="11.90625" style="6" customWidth="1"/>
    <col min="16133" max="16133" width="16.6328125" style="6" customWidth="1"/>
    <col min="16134" max="16134" width="15.08984375" style="6" customWidth="1"/>
    <col min="16135" max="16135" width="0" style="6" hidden="1" customWidth="1"/>
    <col min="16136" max="16136" width="16" style="6" customWidth="1"/>
    <col min="16137" max="16140" width="0" style="6" hidden="1" customWidth="1"/>
    <col min="16141" max="16141" width="13.36328125" style="6" customWidth="1"/>
    <col min="16142" max="16142" width="12.36328125" style="6" bestFit="1" customWidth="1"/>
    <col min="16143" max="16143" width="13.08984375" style="6" bestFit="1" customWidth="1"/>
    <col min="16144" max="16144" width="9.08984375" style="6"/>
    <col min="16145" max="16151" width="0" style="6" hidden="1" customWidth="1"/>
    <col min="16152" max="16384" width="9.08984375" style="6"/>
  </cols>
  <sheetData>
    <row r="1" spans="1:15" ht="0.75" customHeight="1" x14ac:dyDescent="0.35">
      <c r="A1" s="1"/>
      <c r="B1" s="2"/>
      <c r="C1" s="2"/>
      <c r="D1" s="3"/>
      <c r="E1" s="4"/>
      <c r="F1" s="4"/>
      <c r="G1" s="4"/>
      <c r="H1" s="5"/>
      <c r="I1" s="5"/>
      <c r="J1" s="5"/>
      <c r="K1" s="5"/>
    </row>
    <row r="2" spans="1:15" ht="21" customHeight="1" x14ac:dyDescent="0.35">
      <c r="A2" s="1"/>
      <c r="B2" s="7"/>
      <c r="C2" s="8"/>
      <c r="D2" s="9"/>
      <c r="E2" s="10"/>
      <c r="F2" s="253" t="s">
        <v>0</v>
      </c>
      <c r="G2" s="253"/>
      <c r="H2" s="253"/>
      <c r="I2" s="11"/>
      <c r="J2" s="5"/>
    </row>
    <row r="3" spans="1:15" ht="20.25" customHeight="1" x14ac:dyDescent="0.4">
      <c r="A3" s="1"/>
      <c r="B3" s="7"/>
      <c r="C3" s="8"/>
      <c r="D3" s="4"/>
      <c r="E3" s="10"/>
      <c r="F3" s="253" t="s">
        <v>502</v>
      </c>
      <c r="G3" s="253"/>
      <c r="H3" s="253"/>
      <c r="I3" s="11"/>
      <c r="J3" s="5"/>
      <c r="L3" s="12"/>
    </row>
    <row r="4" spans="1:15" ht="19.5" customHeight="1" x14ac:dyDescent="0.4">
      <c r="A4" s="1"/>
      <c r="B4" s="7"/>
      <c r="C4" s="253" t="s">
        <v>503</v>
      </c>
      <c r="D4" s="253"/>
      <c r="E4" s="253"/>
      <c r="F4" s="253"/>
      <c r="G4" s="253"/>
      <c r="H4" s="253"/>
      <c r="I4" s="11"/>
      <c r="J4" s="5"/>
      <c r="L4" s="12"/>
    </row>
    <row r="5" spans="1:15" ht="18.75" customHeight="1" x14ac:dyDescent="0.4">
      <c r="A5" s="1"/>
      <c r="B5" s="13"/>
      <c r="C5" s="2"/>
      <c r="D5" s="3"/>
      <c r="E5" s="253" t="s">
        <v>1</v>
      </c>
      <c r="F5" s="253"/>
      <c r="G5" s="253"/>
      <c r="H5" s="253"/>
      <c r="I5" s="11"/>
      <c r="J5" s="5"/>
      <c r="L5" s="14"/>
    </row>
    <row r="6" spans="1:15" ht="19.5" customHeight="1" x14ac:dyDescent="0.4">
      <c r="A6" s="1"/>
      <c r="B6" s="15"/>
      <c r="C6" s="2"/>
      <c r="D6" s="3"/>
      <c r="E6" s="10"/>
      <c r="F6" s="254" t="s">
        <v>504</v>
      </c>
      <c r="G6" s="254"/>
      <c r="H6" s="254"/>
      <c r="I6" s="11"/>
      <c r="J6" s="5"/>
      <c r="L6" s="16"/>
    </row>
    <row r="7" spans="1:15" ht="19.5" customHeight="1" x14ac:dyDescent="0.4">
      <c r="A7" s="17"/>
      <c r="B7" s="15"/>
      <c r="C7" s="18"/>
      <c r="D7" s="3"/>
      <c r="E7" s="19"/>
      <c r="F7" s="20"/>
      <c r="G7" s="20"/>
      <c r="H7" s="20"/>
      <c r="I7" s="11"/>
      <c r="J7" s="5"/>
      <c r="L7" s="16"/>
    </row>
    <row r="8" spans="1:15" ht="38.25" customHeight="1" x14ac:dyDescent="0.4">
      <c r="A8" s="255" t="s">
        <v>2</v>
      </c>
      <c r="B8" s="255"/>
      <c r="C8" s="255"/>
      <c r="D8" s="255"/>
      <c r="E8" s="255"/>
      <c r="F8" s="255"/>
      <c r="G8" s="255"/>
      <c r="H8" s="255"/>
      <c r="I8" s="21"/>
    </row>
    <row r="9" spans="1:15" ht="75.75" customHeight="1" x14ac:dyDescent="0.3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22" t="s">
        <v>8</v>
      </c>
      <c r="G9" s="22" t="s">
        <v>9</v>
      </c>
      <c r="H9" s="23" t="s">
        <v>10</v>
      </c>
      <c r="I9" s="24"/>
      <c r="J9" s="25" t="s">
        <v>11</v>
      </c>
      <c r="K9" s="26"/>
      <c r="L9" s="27"/>
    </row>
    <row r="10" spans="1:15" ht="15.5" x14ac:dyDescent="0.35">
      <c r="A10" s="28">
        <v>1</v>
      </c>
      <c r="B10" s="28">
        <v>2</v>
      </c>
      <c r="C10" s="28" t="s">
        <v>12</v>
      </c>
      <c r="D10" s="28" t="s">
        <v>13</v>
      </c>
      <c r="E10" s="28" t="s">
        <v>14</v>
      </c>
      <c r="F10" s="28" t="s">
        <v>15</v>
      </c>
      <c r="G10" s="28" t="s">
        <v>16</v>
      </c>
      <c r="H10" s="29">
        <v>8</v>
      </c>
      <c r="I10" s="30">
        <v>9</v>
      </c>
      <c r="J10" s="30">
        <v>10</v>
      </c>
      <c r="K10" s="30">
        <v>11</v>
      </c>
      <c r="L10" s="30">
        <v>12</v>
      </c>
    </row>
    <row r="11" spans="1:15" s="36" customFormat="1" ht="76.5" customHeight="1" x14ac:dyDescent="0.4">
      <c r="A11" s="31" t="s">
        <v>17</v>
      </c>
      <c r="B11" s="32" t="s">
        <v>18</v>
      </c>
      <c r="C11" s="33" t="s">
        <v>19</v>
      </c>
      <c r="D11" s="33"/>
      <c r="E11" s="33"/>
      <c r="F11" s="33"/>
      <c r="G11" s="33"/>
      <c r="H11" s="34">
        <f>H12+H47</f>
        <v>5591.5999999999995</v>
      </c>
      <c r="I11" s="35" t="e">
        <f>I12+I47</f>
        <v>#REF!</v>
      </c>
      <c r="J11" s="35" t="e">
        <f>J12+J47</f>
        <v>#REF!</v>
      </c>
      <c r="K11" s="35" t="e">
        <f>K12+K47</f>
        <v>#REF!</v>
      </c>
      <c r="L11" s="35" t="e">
        <f>L12+L47</f>
        <v>#REF!</v>
      </c>
      <c r="O11" s="6"/>
    </row>
    <row r="12" spans="1:15" s="36" customFormat="1" ht="21.75" customHeight="1" x14ac:dyDescent="0.4">
      <c r="A12" s="33" t="s">
        <v>20</v>
      </c>
      <c r="B12" s="37" t="s">
        <v>21</v>
      </c>
      <c r="C12" s="33" t="s">
        <v>19</v>
      </c>
      <c r="D12" s="33" t="s">
        <v>22</v>
      </c>
      <c r="E12" s="33"/>
      <c r="F12" s="33"/>
      <c r="G12" s="33"/>
      <c r="H12" s="34">
        <f>H13+H20</f>
        <v>5531.5999999999995</v>
      </c>
      <c r="I12" s="38" t="e">
        <f>I13+I20</f>
        <v>#REF!</v>
      </c>
      <c r="J12" s="38" t="e">
        <f>J13+J20</f>
        <v>#REF!</v>
      </c>
      <c r="K12" s="38" t="e">
        <f>K13+K20</f>
        <v>#REF!</v>
      </c>
      <c r="L12" s="38" t="e">
        <f>L13+L20</f>
        <v>#REF!</v>
      </c>
      <c r="N12" s="39"/>
    </row>
    <row r="13" spans="1:15" s="44" customFormat="1" ht="56.25" customHeight="1" x14ac:dyDescent="0.4">
      <c r="A13" s="33" t="s">
        <v>23</v>
      </c>
      <c r="B13" s="40" t="s">
        <v>24</v>
      </c>
      <c r="C13" s="33" t="s">
        <v>19</v>
      </c>
      <c r="D13" s="33" t="s">
        <v>25</v>
      </c>
      <c r="E13" s="33"/>
      <c r="F13" s="33"/>
      <c r="G13" s="33"/>
      <c r="H13" s="41">
        <f>H14</f>
        <v>976.6</v>
      </c>
      <c r="I13" s="42" t="e">
        <f>I14</f>
        <v>#REF!</v>
      </c>
      <c r="J13" s="42" t="e">
        <f>J14</f>
        <v>#REF!</v>
      </c>
      <c r="K13" s="42" t="e">
        <f>K14</f>
        <v>#REF!</v>
      </c>
      <c r="L13" s="42" t="e">
        <f>L14</f>
        <v>#REF!</v>
      </c>
      <c r="M13" s="36"/>
      <c r="N13" s="43"/>
      <c r="O13" s="36"/>
    </row>
    <row r="14" spans="1:15" s="44" customFormat="1" ht="36.75" customHeight="1" x14ac:dyDescent="0.4">
      <c r="A14" s="33" t="s">
        <v>26</v>
      </c>
      <c r="B14" s="37" t="s">
        <v>27</v>
      </c>
      <c r="C14" s="33" t="s">
        <v>19</v>
      </c>
      <c r="D14" s="33" t="s">
        <v>25</v>
      </c>
      <c r="E14" s="33" t="s">
        <v>28</v>
      </c>
      <c r="F14" s="33"/>
      <c r="G14" s="33"/>
      <c r="H14" s="34">
        <f>H15</f>
        <v>976.6</v>
      </c>
      <c r="I14" s="45" t="e">
        <f>#REF!</f>
        <v>#REF!</v>
      </c>
      <c r="J14" s="45" t="e">
        <f>#REF!</f>
        <v>#REF!</v>
      </c>
      <c r="K14" s="45" t="e">
        <f>#REF!</f>
        <v>#REF!</v>
      </c>
      <c r="L14" s="45" t="e">
        <f>#REF!</f>
        <v>#REF!</v>
      </c>
      <c r="M14" s="36"/>
    </row>
    <row r="15" spans="1:15" s="44" customFormat="1" ht="36.75" customHeight="1" x14ac:dyDescent="0.4">
      <c r="A15" s="33" t="s">
        <v>29</v>
      </c>
      <c r="B15" s="37" t="s">
        <v>30</v>
      </c>
      <c r="C15" s="33" t="s">
        <v>19</v>
      </c>
      <c r="D15" s="33" t="s">
        <v>25</v>
      </c>
      <c r="E15" s="33" t="s">
        <v>28</v>
      </c>
      <c r="F15" s="33" t="s">
        <v>31</v>
      </c>
      <c r="G15" s="33"/>
      <c r="H15" s="34">
        <f>H16</f>
        <v>976.6</v>
      </c>
      <c r="I15" s="45"/>
      <c r="J15" s="45"/>
      <c r="K15" s="45"/>
      <c r="L15" s="45"/>
      <c r="M15" s="36"/>
    </row>
    <row r="16" spans="1:15" s="44" customFormat="1" ht="21" customHeight="1" x14ac:dyDescent="0.4">
      <c r="A16" s="33" t="s">
        <v>32</v>
      </c>
      <c r="B16" s="46" t="s">
        <v>33</v>
      </c>
      <c r="C16" s="33" t="s">
        <v>19</v>
      </c>
      <c r="D16" s="33" t="s">
        <v>25</v>
      </c>
      <c r="E16" s="33" t="s">
        <v>28</v>
      </c>
      <c r="F16" s="33" t="s">
        <v>34</v>
      </c>
      <c r="G16" s="33"/>
      <c r="H16" s="34">
        <v>976.6</v>
      </c>
      <c r="I16" s="47">
        <f>I18+I19</f>
        <v>198</v>
      </c>
      <c r="J16" s="47">
        <f>J18+J19</f>
        <v>288</v>
      </c>
      <c r="K16" s="47">
        <f>K18+K19</f>
        <v>110.2</v>
      </c>
      <c r="L16" s="47">
        <f>L18+L19</f>
        <v>199.8</v>
      </c>
      <c r="M16" s="36"/>
      <c r="O16" s="43"/>
    </row>
    <row r="17" spans="1:15" s="44" customFormat="1" ht="39" hidden="1" customHeight="1" x14ac:dyDescent="0.4">
      <c r="A17" s="33" t="s">
        <v>35</v>
      </c>
      <c r="B17" s="48" t="s">
        <v>36</v>
      </c>
      <c r="C17" s="33" t="s">
        <v>19</v>
      </c>
      <c r="D17" s="33" t="s">
        <v>25</v>
      </c>
      <c r="E17" s="33" t="s">
        <v>28</v>
      </c>
      <c r="F17" s="33" t="s">
        <v>34</v>
      </c>
      <c r="G17" s="33" t="s">
        <v>37</v>
      </c>
      <c r="H17" s="34">
        <f>H18+H19</f>
        <v>953.1</v>
      </c>
      <c r="I17" s="47"/>
      <c r="J17" s="47"/>
      <c r="K17" s="47"/>
      <c r="L17" s="47"/>
      <c r="M17" s="36"/>
      <c r="O17" s="43"/>
    </row>
    <row r="18" spans="1:15" s="44" customFormat="1" ht="19.5" hidden="1" customHeight="1" x14ac:dyDescent="0.4">
      <c r="A18" s="33" t="s">
        <v>38</v>
      </c>
      <c r="B18" s="49" t="s">
        <v>39</v>
      </c>
      <c r="C18" s="50" t="s">
        <v>19</v>
      </c>
      <c r="D18" s="50" t="s">
        <v>25</v>
      </c>
      <c r="E18" s="50" t="s">
        <v>28</v>
      </c>
      <c r="F18" s="50" t="s">
        <v>34</v>
      </c>
      <c r="G18" s="50" t="s">
        <v>40</v>
      </c>
      <c r="H18" s="51">
        <v>783</v>
      </c>
      <c r="I18" s="52">
        <v>157</v>
      </c>
      <c r="J18" s="52">
        <f>157+71</f>
        <v>228</v>
      </c>
      <c r="K18" s="52">
        <f>158-71</f>
        <v>87</v>
      </c>
      <c r="L18" s="53">
        <v>158.80000000000001</v>
      </c>
      <c r="M18" s="36"/>
      <c r="O18" s="43"/>
    </row>
    <row r="19" spans="1:15" s="44" customFormat="1" ht="19.5" hidden="1" customHeight="1" x14ac:dyDescent="0.4">
      <c r="A19" s="33" t="s">
        <v>41</v>
      </c>
      <c r="B19" s="49" t="s">
        <v>42</v>
      </c>
      <c r="C19" s="50" t="s">
        <v>19</v>
      </c>
      <c r="D19" s="50" t="s">
        <v>25</v>
      </c>
      <c r="E19" s="50" t="s">
        <v>28</v>
      </c>
      <c r="F19" s="50" t="s">
        <v>34</v>
      </c>
      <c r="G19" s="50" t="s">
        <v>43</v>
      </c>
      <c r="H19" s="51">
        <v>170.1</v>
      </c>
      <c r="I19" s="52">
        <v>41</v>
      </c>
      <c r="J19" s="52">
        <f>41+19</f>
        <v>60</v>
      </c>
      <c r="K19" s="52">
        <f>42.2-19</f>
        <v>23.200000000000003</v>
      </c>
      <c r="L19" s="53">
        <v>41</v>
      </c>
      <c r="M19" s="36"/>
      <c r="O19" s="43"/>
    </row>
    <row r="20" spans="1:15" s="21" customFormat="1" ht="76.5" customHeight="1" x14ac:dyDescent="0.4">
      <c r="A20" s="54" t="s">
        <v>44</v>
      </c>
      <c r="B20" s="46" t="s">
        <v>45</v>
      </c>
      <c r="C20" s="33" t="s">
        <v>19</v>
      </c>
      <c r="D20" s="54" t="s">
        <v>46</v>
      </c>
      <c r="E20" s="54"/>
      <c r="F20" s="54"/>
      <c r="G20" s="54"/>
      <c r="H20" s="41">
        <f>H26+H21</f>
        <v>4554.9999999999991</v>
      </c>
      <c r="I20" s="55" t="e">
        <f>I21+I26</f>
        <v>#REF!</v>
      </c>
      <c r="J20" s="55" t="e">
        <f>J21+J26</f>
        <v>#REF!</v>
      </c>
      <c r="K20" s="55" t="e">
        <f>K21+K26</f>
        <v>#REF!</v>
      </c>
      <c r="L20" s="55" t="e">
        <f>L21+L26</f>
        <v>#REF!</v>
      </c>
      <c r="M20" s="36"/>
      <c r="O20" s="44"/>
    </row>
    <row r="21" spans="1:15" s="21" customFormat="1" ht="38" customHeight="1" x14ac:dyDescent="0.4">
      <c r="A21" s="54" t="s">
        <v>47</v>
      </c>
      <c r="B21" s="46" t="s">
        <v>48</v>
      </c>
      <c r="C21" s="33" t="s">
        <v>19</v>
      </c>
      <c r="D21" s="54" t="s">
        <v>46</v>
      </c>
      <c r="E21" s="54" t="s">
        <v>49</v>
      </c>
      <c r="F21" s="54"/>
      <c r="G21" s="54"/>
      <c r="H21" s="41">
        <f>H22</f>
        <v>116.7</v>
      </c>
      <c r="I21" s="56">
        <f>I25</f>
        <v>26.1</v>
      </c>
      <c r="J21" s="56">
        <f>J25</f>
        <v>26.1</v>
      </c>
      <c r="K21" s="56">
        <f>K25</f>
        <v>26.1</v>
      </c>
      <c r="L21" s="56">
        <f>L25</f>
        <v>26.1</v>
      </c>
      <c r="M21" s="36"/>
    </row>
    <row r="22" spans="1:15" s="21" customFormat="1" ht="38" customHeight="1" x14ac:dyDescent="0.4">
      <c r="A22" s="54" t="s">
        <v>50</v>
      </c>
      <c r="B22" s="46" t="s">
        <v>51</v>
      </c>
      <c r="C22" s="33" t="s">
        <v>19</v>
      </c>
      <c r="D22" s="54" t="s">
        <v>46</v>
      </c>
      <c r="E22" s="54" t="s">
        <v>49</v>
      </c>
      <c r="F22" s="54" t="s">
        <v>52</v>
      </c>
      <c r="G22" s="54"/>
      <c r="H22" s="41">
        <f>H23</f>
        <v>116.7</v>
      </c>
      <c r="I22" s="56"/>
      <c r="J22" s="56"/>
      <c r="K22" s="56"/>
      <c r="L22" s="56"/>
      <c r="M22" s="36"/>
    </row>
    <row r="23" spans="1:15" s="21" customFormat="1" ht="52" customHeight="1" x14ac:dyDescent="0.4">
      <c r="A23" s="54" t="s">
        <v>53</v>
      </c>
      <c r="B23" s="46" t="s">
        <v>54</v>
      </c>
      <c r="C23" s="33" t="s">
        <v>19</v>
      </c>
      <c r="D23" s="54" t="s">
        <v>46</v>
      </c>
      <c r="E23" s="54" t="s">
        <v>49</v>
      </c>
      <c r="F23" s="54" t="s">
        <v>55</v>
      </c>
      <c r="G23" s="54"/>
      <c r="H23" s="41">
        <f>H24</f>
        <v>116.7</v>
      </c>
      <c r="I23" s="56"/>
      <c r="J23" s="56"/>
      <c r="K23" s="56"/>
      <c r="L23" s="56"/>
      <c r="M23" s="36"/>
    </row>
    <row r="24" spans="1:15" s="21" customFormat="1" ht="20.25" hidden="1" customHeight="1" x14ac:dyDescent="0.4">
      <c r="A24" s="57" t="s">
        <v>53</v>
      </c>
      <c r="B24" s="46" t="s">
        <v>56</v>
      </c>
      <c r="C24" s="33" t="s">
        <v>19</v>
      </c>
      <c r="D24" s="54" t="s">
        <v>46</v>
      </c>
      <c r="E24" s="54" t="s">
        <v>49</v>
      </c>
      <c r="F24" s="54" t="s">
        <v>55</v>
      </c>
      <c r="G24" s="54" t="s">
        <v>57</v>
      </c>
      <c r="H24" s="41">
        <f>H25</f>
        <v>116.7</v>
      </c>
      <c r="I24" s="56">
        <f>I25</f>
        <v>26.1</v>
      </c>
      <c r="J24" s="56">
        <f>J25</f>
        <v>26.1</v>
      </c>
      <c r="K24" s="56">
        <f>K25</f>
        <v>26.1</v>
      </c>
      <c r="L24" s="56">
        <f>L25</f>
        <v>26.1</v>
      </c>
      <c r="M24" s="36"/>
    </row>
    <row r="25" spans="1:15" ht="24" hidden="1" customHeight="1" x14ac:dyDescent="0.4">
      <c r="A25" s="57" t="s">
        <v>58</v>
      </c>
      <c r="B25" s="58" t="s">
        <v>59</v>
      </c>
      <c r="C25" s="50" t="s">
        <v>19</v>
      </c>
      <c r="D25" s="57" t="s">
        <v>46</v>
      </c>
      <c r="E25" s="57" t="s">
        <v>49</v>
      </c>
      <c r="F25" s="57" t="s">
        <v>55</v>
      </c>
      <c r="G25" s="57" t="s">
        <v>60</v>
      </c>
      <c r="H25" s="59">
        <v>116.7</v>
      </c>
      <c r="I25" s="60">
        <v>26.1</v>
      </c>
      <c r="J25" s="60">
        <v>26.1</v>
      </c>
      <c r="K25" s="60">
        <v>26.1</v>
      </c>
      <c r="L25" s="60">
        <v>26.1</v>
      </c>
      <c r="M25" s="36"/>
      <c r="O25" s="21"/>
    </row>
    <row r="26" spans="1:15" ht="35.5" customHeight="1" x14ac:dyDescent="0.4">
      <c r="A26" s="54" t="s">
        <v>61</v>
      </c>
      <c r="B26" s="46" t="s">
        <v>62</v>
      </c>
      <c r="C26" s="33" t="s">
        <v>19</v>
      </c>
      <c r="D26" s="54" t="s">
        <v>46</v>
      </c>
      <c r="E26" s="54" t="s">
        <v>63</v>
      </c>
      <c r="F26" s="54"/>
      <c r="G26" s="54"/>
      <c r="H26" s="41">
        <f>H28+H32+H42</f>
        <v>4438.2999999999993</v>
      </c>
      <c r="I26" s="55" t="e">
        <f>I28</f>
        <v>#REF!</v>
      </c>
      <c r="J26" s="55" t="e">
        <f>J28</f>
        <v>#REF!</v>
      </c>
      <c r="K26" s="55" t="e">
        <f>K28</f>
        <v>#REF!</v>
      </c>
      <c r="L26" s="55" t="e">
        <f>L28</f>
        <v>#REF!</v>
      </c>
      <c r="M26" s="36"/>
    </row>
    <row r="27" spans="1:15" ht="35.5" customHeight="1" x14ac:dyDescent="0.4">
      <c r="A27" s="54" t="s">
        <v>64</v>
      </c>
      <c r="B27" s="46" t="s">
        <v>30</v>
      </c>
      <c r="C27" s="33" t="s">
        <v>19</v>
      </c>
      <c r="D27" s="54" t="s">
        <v>46</v>
      </c>
      <c r="E27" s="54" t="s">
        <v>63</v>
      </c>
      <c r="F27" s="54" t="s">
        <v>31</v>
      </c>
      <c r="G27" s="54"/>
      <c r="H27" s="41">
        <f>H28</f>
        <v>2569.6</v>
      </c>
      <c r="I27" s="55"/>
      <c r="J27" s="55"/>
      <c r="K27" s="55"/>
      <c r="L27" s="55"/>
      <c r="M27" s="36"/>
    </row>
    <row r="28" spans="1:15" ht="19.5" customHeight="1" x14ac:dyDescent="0.4">
      <c r="A28" s="54" t="s">
        <v>65</v>
      </c>
      <c r="B28" s="46" t="s">
        <v>33</v>
      </c>
      <c r="C28" s="33" t="s">
        <v>19</v>
      </c>
      <c r="D28" s="54" t="s">
        <v>46</v>
      </c>
      <c r="E28" s="54" t="s">
        <v>63</v>
      </c>
      <c r="F28" s="54" t="s">
        <v>34</v>
      </c>
      <c r="G28" s="54"/>
      <c r="H28" s="41">
        <f>H29</f>
        <v>2569.6</v>
      </c>
      <c r="I28" s="56" t="e">
        <f>I34+#REF!+I39+I29</f>
        <v>#REF!</v>
      </c>
      <c r="J28" s="56" t="e">
        <f>J34+#REF!+J39+J29</f>
        <v>#REF!</v>
      </c>
      <c r="K28" s="56" t="e">
        <f>K34+#REF!+K39+K29</f>
        <v>#REF!</v>
      </c>
      <c r="L28" s="56" t="e">
        <f>L34+#REF!+L39+L29</f>
        <v>#REF!</v>
      </c>
      <c r="M28" s="36"/>
    </row>
    <row r="29" spans="1:15" ht="35.5" hidden="1" x14ac:dyDescent="0.4">
      <c r="A29" s="54" t="s">
        <v>66</v>
      </c>
      <c r="B29" s="46" t="s">
        <v>36</v>
      </c>
      <c r="C29" s="33" t="s">
        <v>19</v>
      </c>
      <c r="D29" s="54" t="s">
        <v>46</v>
      </c>
      <c r="E29" s="54" t="s">
        <v>63</v>
      </c>
      <c r="F29" s="54" t="s">
        <v>34</v>
      </c>
      <c r="G29" s="54" t="s">
        <v>37</v>
      </c>
      <c r="H29" s="41">
        <f>H30+H31</f>
        <v>2569.6</v>
      </c>
      <c r="I29" s="56">
        <f>I30+I31</f>
        <v>309</v>
      </c>
      <c r="J29" s="56">
        <f>J30+J31</f>
        <v>309</v>
      </c>
      <c r="K29" s="56">
        <f>K30+K31</f>
        <v>310.60000000000002</v>
      </c>
      <c r="L29" s="56">
        <f>L30+L31</f>
        <v>309</v>
      </c>
      <c r="M29" s="36"/>
    </row>
    <row r="30" spans="1:15" ht="18" hidden="1" x14ac:dyDescent="0.4">
      <c r="A30" s="57" t="s">
        <v>67</v>
      </c>
      <c r="B30" s="49" t="s">
        <v>39</v>
      </c>
      <c r="C30" s="50" t="s">
        <v>19</v>
      </c>
      <c r="D30" s="57" t="s">
        <v>46</v>
      </c>
      <c r="E30" s="57" t="s">
        <v>63</v>
      </c>
      <c r="F30" s="57" t="s">
        <v>34</v>
      </c>
      <c r="G30" s="57" t="s">
        <v>40</v>
      </c>
      <c r="H30" s="61">
        <v>1973.6</v>
      </c>
      <c r="I30" s="60">
        <v>245</v>
      </c>
      <c r="J30" s="60">
        <v>245</v>
      </c>
      <c r="K30" s="60">
        <v>245.7</v>
      </c>
      <c r="L30" s="60">
        <v>245</v>
      </c>
      <c r="M30" s="36"/>
    </row>
    <row r="31" spans="1:15" ht="18" hidden="1" x14ac:dyDescent="0.4">
      <c r="A31" s="57" t="s">
        <v>68</v>
      </c>
      <c r="B31" s="49" t="s">
        <v>42</v>
      </c>
      <c r="C31" s="50" t="s">
        <v>19</v>
      </c>
      <c r="D31" s="57" t="s">
        <v>46</v>
      </c>
      <c r="E31" s="57" t="s">
        <v>63</v>
      </c>
      <c r="F31" s="57" t="s">
        <v>34</v>
      </c>
      <c r="G31" s="57" t="s">
        <v>43</v>
      </c>
      <c r="H31" s="59">
        <v>596</v>
      </c>
      <c r="I31" s="60">
        <v>64</v>
      </c>
      <c r="J31" s="60">
        <v>64</v>
      </c>
      <c r="K31" s="60">
        <v>64.900000000000006</v>
      </c>
      <c r="L31" s="60">
        <v>64</v>
      </c>
      <c r="M31" s="36"/>
    </row>
    <row r="32" spans="1:15" ht="35.5" x14ac:dyDescent="0.4">
      <c r="A32" s="54" t="s">
        <v>69</v>
      </c>
      <c r="B32" s="37" t="s">
        <v>70</v>
      </c>
      <c r="C32" s="33" t="s">
        <v>19</v>
      </c>
      <c r="D32" s="54" t="s">
        <v>46</v>
      </c>
      <c r="E32" s="54" t="s">
        <v>63</v>
      </c>
      <c r="F32" s="54" t="s">
        <v>71</v>
      </c>
      <c r="G32" s="54"/>
      <c r="H32" s="41">
        <f>H33</f>
        <v>1842.3</v>
      </c>
      <c r="I32" s="60"/>
      <c r="J32" s="60"/>
      <c r="K32" s="60"/>
      <c r="L32" s="60"/>
      <c r="M32" s="36"/>
    </row>
    <row r="33" spans="1:15" ht="35.5" x14ac:dyDescent="0.4">
      <c r="A33" s="54" t="s">
        <v>72</v>
      </c>
      <c r="B33" s="37" t="s">
        <v>73</v>
      </c>
      <c r="C33" s="33" t="s">
        <v>19</v>
      </c>
      <c r="D33" s="54" t="s">
        <v>46</v>
      </c>
      <c r="E33" s="54" t="s">
        <v>63</v>
      </c>
      <c r="F33" s="54" t="s">
        <v>74</v>
      </c>
      <c r="G33" s="54"/>
      <c r="H33" s="41">
        <v>1842.3</v>
      </c>
      <c r="I33" s="60"/>
      <c r="J33" s="60"/>
      <c r="K33" s="60"/>
      <c r="L33" s="60"/>
      <c r="M33" s="36"/>
    </row>
    <row r="34" spans="1:15" s="62" customFormat="1" ht="16.5" hidden="1" customHeight="1" x14ac:dyDescent="0.4">
      <c r="A34" s="54" t="s">
        <v>75</v>
      </c>
      <c r="B34" s="46" t="s">
        <v>56</v>
      </c>
      <c r="C34" s="33" t="s">
        <v>19</v>
      </c>
      <c r="D34" s="54" t="s">
        <v>46</v>
      </c>
      <c r="E34" s="54" t="s">
        <v>63</v>
      </c>
      <c r="F34" s="54" t="s">
        <v>74</v>
      </c>
      <c r="G34" s="54" t="s">
        <v>57</v>
      </c>
      <c r="H34" s="41">
        <f>SUM(H35:H38)</f>
        <v>1643.6</v>
      </c>
      <c r="I34" s="56">
        <f>SUM(I35:I38)</f>
        <v>360</v>
      </c>
      <c r="J34" s="56">
        <f>SUM(J35:J38)</f>
        <v>352.29999999999995</v>
      </c>
      <c r="K34" s="56">
        <f>SUM(K35:K38)</f>
        <v>214.2</v>
      </c>
      <c r="L34" s="56">
        <f>SUM(L35:L38)</f>
        <v>320</v>
      </c>
      <c r="M34" s="36"/>
      <c r="O34" s="6"/>
    </row>
    <row r="35" spans="1:15" s="21" customFormat="1" ht="18" hidden="1" x14ac:dyDescent="0.4">
      <c r="A35" s="57" t="s">
        <v>76</v>
      </c>
      <c r="B35" s="58" t="s">
        <v>77</v>
      </c>
      <c r="C35" s="50" t="s">
        <v>19</v>
      </c>
      <c r="D35" s="57" t="s">
        <v>46</v>
      </c>
      <c r="E35" s="57" t="s">
        <v>63</v>
      </c>
      <c r="F35" s="57" t="s">
        <v>74</v>
      </c>
      <c r="G35" s="57" t="s">
        <v>78</v>
      </c>
      <c r="H35" s="59">
        <v>235.9</v>
      </c>
      <c r="I35" s="60">
        <f>65+18</f>
        <v>83</v>
      </c>
      <c r="J35" s="60">
        <f>50+5</f>
        <v>55</v>
      </c>
      <c r="K35" s="60">
        <f>50-5+8</f>
        <v>53</v>
      </c>
      <c r="L35" s="60">
        <f>53.6-8</f>
        <v>45.6</v>
      </c>
      <c r="M35" s="36"/>
      <c r="O35" s="62"/>
    </row>
    <row r="36" spans="1:15" s="21" customFormat="1" ht="18" hidden="1" x14ac:dyDescent="0.4">
      <c r="A36" s="57" t="s">
        <v>79</v>
      </c>
      <c r="B36" s="58" t="s">
        <v>80</v>
      </c>
      <c r="C36" s="50" t="s">
        <v>19</v>
      </c>
      <c r="D36" s="57" t="s">
        <v>46</v>
      </c>
      <c r="E36" s="57" t="s">
        <v>63</v>
      </c>
      <c r="F36" s="57" t="s">
        <v>74</v>
      </c>
      <c r="G36" s="57" t="s">
        <v>81</v>
      </c>
      <c r="H36" s="59">
        <v>429.1</v>
      </c>
      <c r="I36" s="60">
        <v>90</v>
      </c>
      <c r="J36" s="60">
        <v>90</v>
      </c>
      <c r="K36" s="60">
        <v>90</v>
      </c>
      <c r="L36" s="60">
        <v>87</v>
      </c>
      <c r="M36" s="36"/>
    </row>
    <row r="37" spans="1:15" s="21" customFormat="1" ht="18" hidden="1" x14ac:dyDescent="0.4">
      <c r="A37" s="57" t="s">
        <v>82</v>
      </c>
      <c r="B37" s="58" t="s">
        <v>83</v>
      </c>
      <c r="C37" s="50" t="s">
        <v>19</v>
      </c>
      <c r="D37" s="57" t="s">
        <v>46</v>
      </c>
      <c r="E37" s="57" t="s">
        <v>63</v>
      </c>
      <c r="F37" s="57" t="s">
        <v>74</v>
      </c>
      <c r="G37" s="57" t="s">
        <v>84</v>
      </c>
      <c r="H37" s="59">
        <v>556.1</v>
      </c>
      <c r="I37" s="60">
        <v>70</v>
      </c>
      <c r="J37" s="60">
        <f>65+41.1</f>
        <v>106.1</v>
      </c>
      <c r="K37" s="60">
        <f>65.2</f>
        <v>65.2</v>
      </c>
      <c r="L37" s="60">
        <f>62.4+50</f>
        <v>112.4</v>
      </c>
      <c r="M37" s="36"/>
    </row>
    <row r="38" spans="1:15" ht="18" hidden="1" x14ac:dyDescent="0.4">
      <c r="A38" s="57" t="s">
        <v>85</v>
      </c>
      <c r="B38" s="58" t="s">
        <v>59</v>
      </c>
      <c r="C38" s="50" t="s">
        <v>19</v>
      </c>
      <c r="D38" s="57" t="s">
        <v>46</v>
      </c>
      <c r="E38" s="57" t="s">
        <v>63</v>
      </c>
      <c r="F38" s="57" t="s">
        <v>74</v>
      </c>
      <c r="G38" s="57" t="s">
        <v>60</v>
      </c>
      <c r="H38" s="59">
        <v>422.5</v>
      </c>
      <c r="I38" s="60">
        <f>135-18</f>
        <v>117</v>
      </c>
      <c r="J38" s="60">
        <f>130.1-23.9-5</f>
        <v>101.19999999999999</v>
      </c>
      <c r="K38" s="60">
        <v>6</v>
      </c>
      <c r="L38" s="60">
        <f>5+70</f>
        <v>75</v>
      </c>
      <c r="M38" s="36"/>
      <c r="O38" s="21"/>
    </row>
    <row r="39" spans="1:15" s="62" customFormat="1" ht="18" hidden="1" x14ac:dyDescent="0.4">
      <c r="A39" s="54" t="s">
        <v>86</v>
      </c>
      <c r="B39" s="46" t="s">
        <v>87</v>
      </c>
      <c r="C39" s="33" t="s">
        <v>19</v>
      </c>
      <c r="D39" s="54" t="s">
        <v>46</v>
      </c>
      <c r="E39" s="54" t="s">
        <v>63</v>
      </c>
      <c r="F39" s="54" t="s">
        <v>74</v>
      </c>
      <c r="G39" s="54" t="s">
        <v>88</v>
      </c>
      <c r="H39" s="41">
        <f>SUM(H40:H41)</f>
        <v>222.20000000000002</v>
      </c>
      <c r="I39" s="56">
        <f>SUM(I40:I41)</f>
        <v>71</v>
      </c>
      <c r="J39" s="56">
        <f>SUM(J40:J41)</f>
        <v>75</v>
      </c>
      <c r="K39" s="56">
        <f>SUM(K40:K41)</f>
        <v>52.5</v>
      </c>
      <c r="L39" s="56">
        <f>SUM(L40:L41)</f>
        <v>37.700000000000003</v>
      </c>
      <c r="M39" s="36"/>
      <c r="O39" s="6"/>
    </row>
    <row r="40" spans="1:15" s="21" customFormat="1" ht="18" hidden="1" x14ac:dyDescent="0.4">
      <c r="A40" s="57" t="s">
        <v>89</v>
      </c>
      <c r="B40" s="58" t="s">
        <v>90</v>
      </c>
      <c r="C40" s="50" t="s">
        <v>19</v>
      </c>
      <c r="D40" s="57" t="s">
        <v>46</v>
      </c>
      <c r="E40" s="57" t="s">
        <v>63</v>
      </c>
      <c r="F40" s="57" t="s">
        <v>74</v>
      </c>
      <c r="G40" s="57" t="s">
        <v>91</v>
      </c>
      <c r="H40" s="59">
        <v>87.4</v>
      </c>
      <c r="I40" s="60">
        <v>0</v>
      </c>
      <c r="J40" s="60">
        <v>0</v>
      </c>
      <c r="K40" s="60">
        <v>0</v>
      </c>
      <c r="L40" s="60">
        <v>0</v>
      </c>
      <c r="M40" s="36"/>
      <c r="O40" s="62"/>
    </row>
    <row r="41" spans="1:15" s="21" customFormat="1" ht="18" hidden="1" x14ac:dyDescent="0.4">
      <c r="A41" s="57" t="s">
        <v>92</v>
      </c>
      <c r="B41" s="58" t="s">
        <v>93</v>
      </c>
      <c r="C41" s="50" t="s">
        <v>19</v>
      </c>
      <c r="D41" s="57" t="s">
        <v>46</v>
      </c>
      <c r="E41" s="57" t="s">
        <v>63</v>
      </c>
      <c r="F41" s="57" t="s">
        <v>74</v>
      </c>
      <c r="G41" s="57" t="s">
        <v>94</v>
      </c>
      <c r="H41" s="59">
        <v>134.80000000000001</v>
      </c>
      <c r="I41" s="60">
        <v>71</v>
      </c>
      <c r="J41" s="60">
        <f>70+5</f>
        <v>75</v>
      </c>
      <c r="K41" s="60">
        <f>45+7.5</f>
        <v>52.5</v>
      </c>
      <c r="L41" s="60">
        <f>45.2-7.5</f>
        <v>37.700000000000003</v>
      </c>
      <c r="M41" s="36"/>
    </row>
    <row r="42" spans="1:15" s="21" customFormat="1" ht="18" x14ac:dyDescent="0.4">
      <c r="A42" s="54" t="s">
        <v>95</v>
      </c>
      <c r="B42" s="46" t="s">
        <v>96</v>
      </c>
      <c r="C42" s="33" t="s">
        <v>19</v>
      </c>
      <c r="D42" s="54" t="s">
        <v>46</v>
      </c>
      <c r="E42" s="54" t="s">
        <v>63</v>
      </c>
      <c r="F42" s="54" t="s">
        <v>97</v>
      </c>
      <c r="G42" s="54"/>
      <c r="H42" s="41">
        <f>H43+H45</f>
        <v>26.4</v>
      </c>
      <c r="I42" s="60"/>
      <c r="J42" s="60"/>
      <c r="K42" s="60"/>
      <c r="L42" s="60"/>
      <c r="M42" s="36"/>
    </row>
    <row r="43" spans="1:15" s="21" customFormat="1" ht="35.5" x14ac:dyDescent="0.4">
      <c r="A43" s="54" t="s">
        <v>98</v>
      </c>
      <c r="B43" s="46" t="s">
        <v>99</v>
      </c>
      <c r="C43" s="33" t="s">
        <v>19</v>
      </c>
      <c r="D43" s="54" t="s">
        <v>46</v>
      </c>
      <c r="E43" s="54" t="s">
        <v>63</v>
      </c>
      <c r="F43" s="54" t="s">
        <v>100</v>
      </c>
      <c r="G43" s="54"/>
      <c r="H43" s="41">
        <f>H44</f>
        <v>21.4</v>
      </c>
      <c r="I43" s="60"/>
      <c r="J43" s="60"/>
      <c r="K43" s="60"/>
      <c r="L43" s="60"/>
      <c r="M43" s="36"/>
    </row>
    <row r="44" spans="1:15" s="21" customFormat="1" ht="18" hidden="1" x14ac:dyDescent="0.4">
      <c r="A44" s="57" t="s">
        <v>101</v>
      </c>
      <c r="B44" s="58" t="s">
        <v>102</v>
      </c>
      <c r="C44" s="50" t="s">
        <v>19</v>
      </c>
      <c r="D44" s="57" t="s">
        <v>46</v>
      </c>
      <c r="E44" s="57" t="s">
        <v>63</v>
      </c>
      <c r="F44" s="57" t="s">
        <v>100</v>
      </c>
      <c r="G44" s="57" t="s">
        <v>103</v>
      </c>
      <c r="H44" s="59">
        <v>21.4</v>
      </c>
      <c r="I44" s="60"/>
      <c r="J44" s="60"/>
      <c r="K44" s="60"/>
      <c r="L44" s="60"/>
      <c r="M44" s="36"/>
    </row>
    <row r="45" spans="1:15" s="21" customFormat="1" ht="18" x14ac:dyDescent="0.4">
      <c r="A45" s="54" t="s">
        <v>104</v>
      </c>
      <c r="B45" s="46" t="s">
        <v>105</v>
      </c>
      <c r="C45" s="33" t="s">
        <v>19</v>
      </c>
      <c r="D45" s="54" t="s">
        <v>46</v>
      </c>
      <c r="E45" s="54" t="s">
        <v>63</v>
      </c>
      <c r="F45" s="54" t="s">
        <v>106</v>
      </c>
      <c r="G45" s="54"/>
      <c r="H45" s="41">
        <f>H46</f>
        <v>5</v>
      </c>
      <c r="I45" s="60"/>
      <c r="J45" s="60"/>
      <c r="K45" s="60"/>
      <c r="L45" s="60"/>
      <c r="M45" s="36"/>
    </row>
    <row r="46" spans="1:15" s="21" customFormat="1" ht="18" hidden="1" x14ac:dyDescent="0.4">
      <c r="A46" s="57" t="s">
        <v>107</v>
      </c>
      <c r="B46" s="58" t="s">
        <v>102</v>
      </c>
      <c r="C46" s="50" t="s">
        <v>19</v>
      </c>
      <c r="D46" s="57" t="s">
        <v>46</v>
      </c>
      <c r="E46" s="57" t="s">
        <v>63</v>
      </c>
      <c r="F46" s="57" t="s">
        <v>106</v>
      </c>
      <c r="G46" s="57" t="s">
        <v>103</v>
      </c>
      <c r="H46" s="59">
        <v>5</v>
      </c>
      <c r="I46" s="60"/>
      <c r="J46" s="60"/>
      <c r="K46" s="60"/>
      <c r="L46" s="60"/>
      <c r="M46" s="36"/>
    </row>
    <row r="47" spans="1:15" s="21" customFormat="1" ht="29.5" customHeight="1" x14ac:dyDescent="0.4">
      <c r="A47" s="54" t="s">
        <v>108</v>
      </c>
      <c r="B47" s="40" t="s">
        <v>109</v>
      </c>
      <c r="C47" s="54" t="s">
        <v>19</v>
      </c>
      <c r="D47" s="54" t="s">
        <v>110</v>
      </c>
      <c r="E47" s="57"/>
      <c r="F47" s="57"/>
      <c r="G47" s="57"/>
      <c r="H47" s="41">
        <f>H48</f>
        <v>60</v>
      </c>
      <c r="I47" s="55" t="e">
        <f>I48+#REF!</f>
        <v>#REF!</v>
      </c>
      <c r="J47" s="55" t="e">
        <f>J48+#REF!</f>
        <v>#REF!</v>
      </c>
      <c r="K47" s="55" t="e">
        <f>K48+#REF!</f>
        <v>#REF!</v>
      </c>
      <c r="L47" s="55" t="e">
        <f>L48+#REF!</f>
        <v>#REF!</v>
      </c>
      <c r="M47" s="36"/>
    </row>
    <row r="48" spans="1:15" s="21" customFormat="1" ht="53" customHeight="1" x14ac:dyDescent="0.4">
      <c r="A48" s="54" t="s">
        <v>111</v>
      </c>
      <c r="B48" s="63" t="s">
        <v>112</v>
      </c>
      <c r="C48" s="64" t="s">
        <v>19</v>
      </c>
      <c r="D48" s="54" t="s">
        <v>110</v>
      </c>
      <c r="E48" s="54" t="s">
        <v>113</v>
      </c>
      <c r="F48" s="54"/>
      <c r="G48" s="54"/>
      <c r="H48" s="41">
        <f>H49</f>
        <v>60</v>
      </c>
      <c r="I48" s="56" t="e">
        <f>I50</f>
        <v>#REF!</v>
      </c>
      <c r="J48" s="56" t="e">
        <f>J50</f>
        <v>#REF!</v>
      </c>
      <c r="K48" s="56" t="e">
        <f>K50</f>
        <v>#REF!</v>
      </c>
      <c r="L48" s="56" t="e">
        <f>L50</f>
        <v>#REF!</v>
      </c>
      <c r="M48" s="36"/>
    </row>
    <row r="49" spans="1:15" s="21" customFormat="1" ht="31" customHeight="1" x14ac:dyDescent="0.4">
      <c r="A49" s="54" t="s">
        <v>114</v>
      </c>
      <c r="B49" s="63" t="s">
        <v>96</v>
      </c>
      <c r="C49" s="64" t="s">
        <v>19</v>
      </c>
      <c r="D49" s="54" t="s">
        <v>110</v>
      </c>
      <c r="E49" s="54" t="s">
        <v>113</v>
      </c>
      <c r="F49" s="54" t="s">
        <v>97</v>
      </c>
      <c r="G49" s="54"/>
      <c r="H49" s="41">
        <f>H50</f>
        <v>60</v>
      </c>
      <c r="I49" s="56"/>
      <c r="J49" s="56"/>
      <c r="K49" s="56"/>
      <c r="L49" s="56"/>
      <c r="M49" s="36"/>
    </row>
    <row r="50" spans="1:15" s="21" customFormat="1" ht="27" customHeight="1" x14ac:dyDescent="0.4">
      <c r="A50" s="54" t="s">
        <v>115</v>
      </c>
      <c r="B50" s="63" t="s">
        <v>105</v>
      </c>
      <c r="C50" s="64" t="s">
        <v>19</v>
      </c>
      <c r="D50" s="54" t="s">
        <v>110</v>
      </c>
      <c r="E50" s="54" t="s">
        <v>113</v>
      </c>
      <c r="F50" s="54" t="s">
        <v>106</v>
      </c>
      <c r="G50" s="54"/>
      <c r="H50" s="41">
        <v>60</v>
      </c>
      <c r="I50" s="56" t="e">
        <f>#REF!</f>
        <v>#REF!</v>
      </c>
      <c r="J50" s="56" t="e">
        <f>#REF!</f>
        <v>#REF!</v>
      </c>
      <c r="K50" s="56" t="e">
        <f>#REF!</f>
        <v>#REF!</v>
      </c>
      <c r="L50" s="56" t="e">
        <f>#REF!</f>
        <v>#REF!</v>
      </c>
      <c r="M50" s="36"/>
    </row>
    <row r="51" spans="1:15" s="21" customFormat="1" ht="20" hidden="1" customHeight="1" x14ac:dyDescent="0.4">
      <c r="A51" s="54" t="s">
        <v>115</v>
      </c>
      <c r="B51" s="63" t="s">
        <v>102</v>
      </c>
      <c r="C51" s="64" t="s">
        <v>19</v>
      </c>
      <c r="D51" s="54" t="s">
        <v>110</v>
      </c>
      <c r="E51" s="54" t="s">
        <v>113</v>
      </c>
      <c r="F51" s="54" t="s">
        <v>116</v>
      </c>
      <c r="G51" s="54" t="s">
        <v>103</v>
      </c>
      <c r="H51" s="41">
        <v>60</v>
      </c>
      <c r="I51" s="56"/>
      <c r="J51" s="56"/>
      <c r="K51" s="56"/>
      <c r="L51" s="56"/>
      <c r="M51" s="36"/>
    </row>
    <row r="52" spans="1:15" s="36" customFormat="1" ht="72.5" customHeight="1" x14ac:dyDescent="0.4">
      <c r="A52" s="65" t="s">
        <v>117</v>
      </c>
      <c r="B52" s="66" t="s">
        <v>118</v>
      </c>
      <c r="C52" s="67">
        <v>903</v>
      </c>
      <c r="D52" s="54"/>
      <c r="E52" s="54"/>
      <c r="F52" s="54"/>
      <c r="G52" s="54"/>
      <c r="H52" s="41">
        <f>H53+H109+H117+H124+H205+H220+H228+H249</f>
        <v>38448.199999999997</v>
      </c>
      <c r="I52" s="68" t="e">
        <f>I53+I109+I117+I124+I205+I220+I228</f>
        <v>#REF!</v>
      </c>
      <c r="J52" s="68" t="e">
        <f>J53+J109+J117+J124+J205+J220+J228</f>
        <v>#REF!</v>
      </c>
      <c r="K52" s="68" t="e">
        <f>K53+K109+K117+K124+K205+K220+K228</f>
        <v>#REF!</v>
      </c>
      <c r="L52" s="68" t="e">
        <f>L53+L109+L117+L124+L205+L220+L228</f>
        <v>#REF!</v>
      </c>
      <c r="O52" s="21"/>
    </row>
    <row r="53" spans="1:15" s="36" customFormat="1" ht="25.5" customHeight="1" x14ac:dyDescent="0.4">
      <c r="A53" s="33" t="s">
        <v>20</v>
      </c>
      <c r="B53" s="37" t="s">
        <v>21</v>
      </c>
      <c r="C53" s="33" t="s">
        <v>119</v>
      </c>
      <c r="D53" s="33" t="s">
        <v>22</v>
      </c>
      <c r="E53" s="33"/>
      <c r="F53" s="33"/>
      <c r="G53" s="33"/>
      <c r="H53" s="34">
        <f>H54+H87+H92</f>
        <v>12056.9</v>
      </c>
      <c r="I53" s="38" t="e">
        <f>I54+I87+I92</f>
        <v>#REF!</v>
      </c>
      <c r="J53" s="38" t="e">
        <f>J54+J87+J92</f>
        <v>#REF!</v>
      </c>
      <c r="K53" s="38" t="e">
        <f>K54+K87+K92</f>
        <v>#REF!</v>
      </c>
      <c r="L53" s="38" t="e">
        <f>L54+L87+L92</f>
        <v>#REF!</v>
      </c>
    </row>
    <row r="54" spans="1:15" s="44" customFormat="1" ht="70.5" customHeight="1" x14ac:dyDescent="0.4">
      <c r="A54" s="54" t="s">
        <v>23</v>
      </c>
      <c r="B54" s="69" t="s">
        <v>120</v>
      </c>
      <c r="C54" s="54" t="s">
        <v>119</v>
      </c>
      <c r="D54" s="54" t="s">
        <v>121</v>
      </c>
      <c r="E54" s="54"/>
      <c r="F54" s="54"/>
      <c r="G54" s="54"/>
      <c r="H54" s="41">
        <f>H55+H61+H83</f>
        <v>11511.5</v>
      </c>
      <c r="I54" s="55" t="e">
        <f>I55+I62+#REF!+I82+#REF!</f>
        <v>#REF!</v>
      </c>
      <c r="J54" s="55" t="e">
        <f>J55+J62+#REF!+J82+#REF!</f>
        <v>#REF!</v>
      </c>
      <c r="K54" s="55" t="e">
        <f>K55+K62+#REF!+K82+#REF!</f>
        <v>#REF!</v>
      </c>
      <c r="L54" s="55" t="e">
        <f>L55+L62+#REF!+L82+#REF!</f>
        <v>#REF!</v>
      </c>
      <c r="M54" s="36"/>
      <c r="O54" s="36"/>
    </row>
    <row r="55" spans="1:15" s="70" customFormat="1" ht="31.5" customHeight="1" x14ac:dyDescent="0.4">
      <c r="A55" s="54" t="s">
        <v>122</v>
      </c>
      <c r="B55" s="37" t="s">
        <v>123</v>
      </c>
      <c r="C55" s="54" t="s">
        <v>119</v>
      </c>
      <c r="D55" s="54" t="s">
        <v>121</v>
      </c>
      <c r="E55" s="54" t="s">
        <v>124</v>
      </c>
      <c r="F55" s="54"/>
      <c r="G55" s="54"/>
      <c r="H55" s="41">
        <f>H56</f>
        <v>976.5</v>
      </c>
      <c r="I55" s="56">
        <f>I56</f>
        <v>198</v>
      </c>
      <c r="J55" s="56">
        <f>J56</f>
        <v>198</v>
      </c>
      <c r="K55" s="56">
        <f>K56</f>
        <v>200.2</v>
      </c>
      <c r="L55" s="56">
        <f>L56</f>
        <v>199.8</v>
      </c>
      <c r="M55" s="36"/>
      <c r="O55" s="44"/>
    </row>
    <row r="56" spans="1:15" s="72" customFormat="1" ht="35.5" x14ac:dyDescent="0.4">
      <c r="A56" s="33" t="s">
        <v>125</v>
      </c>
      <c r="B56" s="46" t="s">
        <v>30</v>
      </c>
      <c r="C56" s="33" t="s">
        <v>119</v>
      </c>
      <c r="D56" s="33" t="s">
        <v>121</v>
      </c>
      <c r="E56" s="33" t="s">
        <v>124</v>
      </c>
      <c r="F56" s="33" t="s">
        <v>31</v>
      </c>
      <c r="G56" s="33"/>
      <c r="H56" s="34">
        <f>H57</f>
        <v>976.5</v>
      </c>
      <c r="I56" s="71">
        <f>I58</f>
        <v>198</v>
      </c>
      <c r="J56" s="71">
        <f>J58</f>
        <v>198</v>
      </c>
      <c r="K56" s="71">
        <f>K58</f>
        <v>200.2</v>
      </c>
      <c r="L56" s="71">
        <f>L58</f>
        <v>199.8</v>
      </c>
      <c r="M56" s="36"/>
      <c r="O56" s="70"/>
    </row>
    <row r="57" spans="1:15" s="72" customFormat="1" ht="18" x14ac:dyDescent="0.4">
      <c r="A57" s="33" t="s">
        <v>32</v>
      </c>
      <c r="B57" s="46" t="s">
        <v>33</v>
      </c>
      <c r="C57" s="33" t="s">
        <v>119</v>
      </c>
      <c r="D57" s="33" t="s">
        <v>121</v>
      </c>
      <c r="E57" s="33" t="s">
        <v>124</v>
      </c>
      <c r="F57" s="33" t="s">
        <v>34</v>
      </c>
      <c r="G57" s="33"/>
      <c r="H57" s="34">
        <v>976.5</v>
      </c>
      <c r="I57" s="71"/>
      <c r="J57" s="71"/>
      <c r="K57" s="71"/>
      <c r="L57" s="71"/>
      <c r="M57" s="36"/>
    </row>
    <row r="58" spans="1:15" s="73" customFormat="1" ht="33" hidden="1" customHeight="1" x14ac:dyDescent="0.4">
      <c r="A58" s="33" t="s">
        <v>126</v>
      </c>
      <c r="B58" s="46" t="s">
        <v>36</v>
      </c>
      <c r="C58" s="54" t="s">
        <v>119</v>
      </c>
      <c r="D58" s="33" t="s">
        <v>121</v>
      </c>
      <c r="E58" s="33" t="s">
        <v>124</v>
      </c>
      <c r="F58" s="33" t="s">
        <v>34</v>
      </c>
      <c r="G58" s="33" t="s">
        <v>37</v>
      </c>
      <c r="H58" s="34">
        <f>SUM(H59:H60)</f>
        <v>1019.4</v>
      </c>
      <c r="I58" s="71">
        <f>SUM(I59:I60)</f>
        <v>198</v>
      </c>
      <c r="J58" s="71">
        <f>SUM(J59:J60)</f>
        <v>198</v>
      </c>
      <c r="K58" s="71">
        <f>SUM(K59:K60)</f>
        <v>200.2</v>
      </c>
      <c r="L58" s="71">
        <f>SUM(L59:L60)</f>
        <v>199.8</v>
      </c>
      <c r="M58" s="36"/>
      <c r="O58" s="72"/>
    </row>
    <row r="59" spans="1:15" s="5" customFormat="1" ht="18" hidden="1" x14ac:dyDescent="0.4">
      <c r="A59" s="50" t="s">
        <v>127</v>
      </c>
      <c r="B59" s="49" t="s">
        <v>39</v>
      </c>
      <c r="C59" s="50" t="s">
        <v>119</v>
      </c>
      <c r="D59" s="74" t="s">
        <v>121</v>
      </c>
      <c r="E59" s="50" t="s">
        <v>124</v>
      </c>
      <c r="F59" s="74" t="s">
        <v>34</v>
      </c>
      <c r="G59" s="50" t="s">
        <v>40</v>
      </c>
      <c r="H59" s="51">
        <v>783</v>
      </c>
      <c r="I59" s="52">
        <v>157</v>
      </c>
      <c r="J59" s="52">
        <v>157</v>
      </c>
      <c r="K59" s="52">
        <v>158</v>
      </c>
      <c r="L59" s="53">
        <v>158.80000000000001</v>
      </c>
      <c r="M59" s="36"/>
      <c r="O59" s="73"/>
    </row>
    <row r="60" spans="1:15" ht="18.75" hidden="1" customHeight="1" x14ac:dyDescent="0.4">
      <c r="A60" s="50" t="s">
        <v>128</v>
      </c>
      <c r="B60" s="49" t="s">
        <v>42</v>
      </c>
      <c r="C60" s="57" t="s">
        <v>119</v>
      </c>
      <c r="D60" s="50" t="s">
        <v>121</v>
      </c>
      <c r="E60" s="50" t="s">
        <v>124</v>
      </c>
      <c r="F60" s="50" t="s">
        <v>34</v>
      </c>
      <c r="G60" s="50" t="s">
        <v>43</v>
      </c>
      <c r="H60" s="51">
        <v>236.4</v>
      </c>
      <c r="I60" s="52">
        <v>41</v>
      </c>
      <c r="J60" s="52">
        <v>41</v>
      </c>
      <c r="K60" s="52">
        <v>42.2</v>
      </c>
      <c r="L60" s="53">
        <v>41</v>
      </c>
      <c r="M60" s="36"/>
      <c r="O60" s="5"/>
    </row>
    <row r="61" spans="1:15" ht="79.5" customHeight="1" x14ac:dyDescent="0.4">
      <c r="A61" s="33" t="s">
        <v>47</v>
      </c>
      <c r="B61" s="37" t="s">
        <v>118</v>
      </c>
      <c r="C61" s="33" t="s">
        <v>119</v>
      </c>
      <c r="D61" s="33"/>
      <c r="E61" s="33"/>
      <c r="F61" s="50"/>
      <c r="G61" s="50"/>
      <c r="H61" s="34">
        <f>H62</f>
        <v>10530</v>
      </c>
      <c r="I61" s="52"/>
      <c r="J61" s="52"/>
      <c r="K61" s="52"/>
      <c r="L61" s="53"/>
      <c r="M61" s="36"/>
    </row>
    <row r="62" spans="1:15" s="21" customFormat="1" ht="82" customHeight="1" x14ac:dyDescent="0.4">
      <c r="A62" s="54" t="s">
        <v>47</v>
      </c>
      <c r="B62" s="40" t="s">
        <v>129</v>
      </c>
      <c r="C62" s="33" t="s">
        <v>119</v>
      </c>
      <c r="D62" s="54" t="s">
        <v>121</v>
      </c>
      <c r="E62" s="54" t="s">
        <v>130</v>
      </c>
      <c r="F62" s="54"/>
      <c r="G62" s="54"/>
      <c r="H62" s="41">
        <f>H63+H68+H78</f>
        <v>10530</v>
      </c>
      <c r="I62" s="56">
        <f>I64</f>
        <v>1661.5</v>
      </c>
      <c r="J62" s="56">
        <f>J64</f>
        <v>1663</v>
      </c>
      <c r="K62" s="56">
        <f>K64</f>
        <v>1293.9000000000001</v>
      </c>
      <c r="L62" s="56">
        <f>L64</f>
        <v>1665</v>
      </c>
      <c r="M62" s="36"/>
      <c r="O62" s="6"/>
    </row>
    <row r="63" spans="1:15" s="21" customFormat="1" ht="46.5" customHeight="1" x14ac:dyDescent="0.4">
      <c r="A63" s="54" t="s">
        <v>131</v>
      </c>
      <c r="B63" s="40" t="s">
        <v>30</v>
      </c>
      <c r="C63" s="33" t="s">
        <v>119</v>
      </c>
      <c r="D63" s="33" t="s">
        <v>121</v>
      </c>
      <c r="E63" s="54" t="s">
        <v>130</v>
      </c>
      <c r="F63" s="54" t="s">
        <v>31</v>
      </c>
      <c r="G63" s="54"/>
      <c r="H63" s="41">
        <f>H64</f>
        <v>9017</v>
      </c>
      <c r="I63" s="56"/>
      <c r="J63" s="56"/>
      <c r="K63" s="56"/>
      <c r="L63" s="56"/>
      <c r="M63" s="36"/>
    </row>
    <row r="64" spans="1:15" s="21" customFormat="1" ht="31.5" customHeight="1" x14ac:dyDescent="0.4">
      <c r="A64" s="54" t="s">
        <v>132</v>
      </c>
      <c r="B64" s="46" t="s">
        <v>33</v>
      </c>
      <c r="C64" s="33" t="s">
        <v>119</v>
      </c>
      <c r="D64" s="33" t="s">
        <v>121</v>
      </c>
      <c r="E64" s="54" t="s">
        <v>130</v>
      </c>
      <c r="F64" s="54" t="s">
        <v>34</v>
      </c>
      <c r="G64" s="54"/>
      <c r="H64" s="41">
        <v>9017</v>
      </c>
      <c r="I64" s="56">
        <f>I65</f>
        <v>1661.5</v>
      </c>
      <c r="J64" s="56">
        <f>J65</f>
        <v>1663</v>
      </c>
      <c r="K64" s="56">
        <f>K65</f>
        <v>1293.9000000000001</v>
      </c>
      <c r="L64" s="56">
        <f>L65</f>
        <v>1665</v>
      </c>
      <c r="M64" s="36"/>
    </row>
    <row r="65" spans="1:15" s="70" customFormat="1" ht="35.5" hidden="1" x14ac:dyDescent="0.4">
      <c r="A65" s="54" t="s">
        <v>133</v>
      </c>
      <c r="B65" s="46" t="s">
        <v>36</v>
      </c>
      <c r="C65" s="54" t="s">
        <v>119</v>
      </c>
      <c r="D65" s="54" t="s">
        <v>121</v>
      </c>
      <c r="E65" s="54" t="s">
        <v>130</v>
      </c>
      <c r="F65" s="54" t="s">
        <v>34</v>
      </c>
      <c r="G65" s="54" t="s">
        <v>37</v>
      </c>
      <c r="H65" s="41">
        <f>SUM(H66:H67)</f>
        <v>9052.7999999999993</v>
      </c>
      <c r="I65" s="56">
        <f>SUM(I66:I67)</f>
        <v>1661.5</v>
      </c>
      <c r="J65" s="56">
        <f>SUM(J66:J67)</f>
        <v>1663</v>
      </c>
      <c r="K65" s="56">
        <f>SUM(K66:K67)</f>
        <v>1293.9000000000001</v>
      </c>
      <c r="L65" s="56">
        <f>SUM(L66:L67)</f>
        <v>1665</v>
      </c>
      <c r="M65" s="36"/>
      <c r="O65" s="21"/>
    </row>
    <row r="66" spans="1:15" ht="18" hidden="1" x14ac:dyDescent="0.4">
      <c r="A66" s="57" t="s">
        <v>133</v>
      </c>
      <c r="B66" s="49" t="s">
        <v>39</v>
      </c>
      <c r="C66" s="50" t="s">
        <v>119</v>
      </c>
      <c r="D66" s="57" t="s">
        <v>121</v>
      </c>
      <c r="E66" s="57" t="s">
        <v>130</v>
      </c>
      <c r="F66" s="57" t="s">
        <v>34</v>
      </c>
      <c r="G66" s="57" t="s">
        <v>40</v>
      </c>
      <c r="H66" s="59">
        <v>6953</v>
      </c>
      <c r="I66" s="75">
        <v>1316.5</v>
      </c>
      <c r="J66" s="75">
        <v>1318</v>
      </c>
      <c r="K66" s="75">
        <f>1320-295.6</f>
        <v>1024.4000000000001</v>
      </c>
      <c r="L66" s="75">
        <v>1320</v>
      </c>
      <c r="M66" s="36"/>
      <c r="O66" s="70"/>
    </row>
    <row r="67" spans="1:15" ht="18" hidden="1" x14ac:dyDescent="0.4">
      <c r="A67" s="57" t="s">
        <v>134</v>
      </c>
      <c r="B67" s="49" t="s">
        <v>42</v>
      </c>
      <c r="C67" s="57" t="s">
        <v>119</v>
      </c>
      <c r="D67" s="57" t="s">
        <v>121</v>
      </c>
      <c r="E67" s="57" t="s">
        <v>130</v>
      </c>
      <c r="F67" s="57" t="s">
        <v>34</v>
      </c>
      <c r="G67" s="57">
        <v>213</v>
      </c>
      <c r="H67" s="59">
        <v>2099.8000000000002</v>
      </c>
      <c r="I67" s="60">
        <v>345</v>
      </c>
      <c r="J67" s="60">
        <v>345</v>
      </c>
      <c r="K67" s="60">
        <f>346.9-77.4</f>
        <v>269.5</v>
      </c>
      <c r="L67" s="60">
        <v>345</v>
      </c>
      <c r="M67" s="36"/>
    </row>
    <row r="68" spans="1:15" ht="35.5" x14ac:dyDescent="0.4">
      <c r="A68" s="54" t="s">
        <v>135</v>
      </c>
      <c r="B68" s="37" t="s">
        <v>70</v>
      </c>
      <c r="C68" s="33" t="s">
        <v>119</v>
      </c>
      <c r="D68" s="33" t="s">
        <v>121</v>
      </c>
      <c r="E68" s="54" t="s">
        <v>130</v>
      </c>
      <c r="F68" s="54" t="s">
        <v>71</v>
      </c>
      <c r="G68" s="54"/>
      <c r="H68" s="41">
        <f>H69</f>
        <v>1464.7</v>
      </c>
      <c r="I68" s="60"/>
      <c r="J68" s="60"/>
      <c r="K68" s="60"/>
      <c r="L68" s="60"/>
      <c r="M68" s="36"/>
    </row>
    <row r="69" spans="1:15" ht="35.5" x14ac:dyDescent="0.4">
      <c r="A69" s="54" t="s">
        <v>136</v>
      </c>
      <c r="B69" s="37" t="s">
        <v>73</v>
      </c>
      <c r="C69" s="54" t="s">
        <v>119</v>
      </c>
      <c r="D69" s="54" t="s">
        <v>121</v>
      </c>
      <c r="E69" s="54" t="s">
        <v>130</v>
      </c>
      <c r="F69" s="54" t="s">
        <v>74</v>
      </c>
      <c r="G69" s="57"/>
      <c r="H69" s="41">
        <v>1464.7</v>
      </c>
      <c r="I69" s="60"/>
      <c r="J69" s="60"/>
      <c r="K69" s="60"/>
      <c r="L69" s="60"/>
      <c r="M69" s="36"/>
    </row>
    <row r="70" spans="1:15" s="62" customFormat="1" ht="18" hidden="1" x14ac:dyDescent="0.4">
      <c r="A70" s="54" t="s">
        <v>137</v>
      </c>
      <c r="B70" s="46" t="s">
        <v>56</v>
      </c>
      <c r="C70" s="33" t="s">
        <v>119</v>
      </c>
      <c r="D70" s="54" t="s">
        <v>121</v>
      </c>
      <c r="E70" s="54" t="s">
        <v>130</v>
      </c>
      <c r="F70" s="54" t="s">
        <v>74</v>
      </c>
      <c r="G70" s="54" t="s">
        <v>57</v>
      </c>
      <c r="H70" s="41">
        <f>SUM(H71:H74)</f>
        <v>1061.2</v>
      </c>
      <c r="I70" s="56">
        <f>SUM(I71:I74)</f>
        <v>186.7</v>
      </c>
      <c r="J70" s="56">
        <f>SUM(J71:J74)</f>
        <v>230.7</v>
      </c>
      <c r="K70" s="56">
        <f>SUM(K71:K74)</f>
        <v>386.7</v>
      </c>
      <c r="L70" s="56">
        <f>SUM(L71:L74)</f>
        <v>36.700000000000003</v>
      </c>
      <c r="M70" s="36"/>
      <c r="O70" s="6"/>
    </row>
    <row r="71" spans="1:15" s="21" customFormat="1" ht="18" hidden="1" x14ac:dyDescent="0.4">
      <c r="A71" s="57" t="s">
        <v>138</v>
      </c>
      <c r="B71" s="58" t="s">
        <v>77</v>
      </c>
      <c r="C71" s="57" t="s">
        <v>119</v>
      </c>
      <c r="D71" s="57" t="s">
        <v>121</v>
      </c>
      <c r="E71" s="57" t="s">
        <v>130</v>
      </c>
      <c r="F71" s="57" t="s">
        <v>74</v>
      </c>
      <c r="G71" s="57" t="s">
        <v>78</v>
      </c>
      <c r="H71" s="59">
        <v>125.6</v>
      </c>
      <c r="I71" s="60">
        <f>20+10</f>
        <v>30</v>
      </c>
      <c r="J71" s="60">
        <f>5+15+8</f>
        <v>28</v>
      </c>
      <c r="K71" s="60">
        <f>3.2+15</f>
        <v>18.2</v>
      </c>
      <c r="L71" s="60">
        <f>10</f>
        <v>10</v>
      </c>
      <c r="M71" s="36"/>
      <c r="O71" s="62"/>
    </row>
    <row r="72" spans="1:15" ht="18" hidden="1" x14ac:dyDescent="0.4">
      <c r="A72" s="57" t="s">
        <v>139</v>
      </c>
      <c r="B72" s="58" t="s">
        <v>140</v>
      </c>
      <c r="C72" s="50" t="s">
        <v>141</v>
      </c>
      <c r="D72" s="57" t="s">
        <v>121</v>
      </c>
      <c r="E72" s="57" t="s">
        <v>130</v>
      </c>
      <c r="F72" s="57" t="s">
        <v>74</v>
      </c>
      <c r="G72" s="57" t="s">
        <v>142</v>
      </c>
      <c r="H72" s="59">
        <v>9</v>
      </c>
      <c r="I72" s="60">
        <v>1.7</v>
      </c>
      <c r="J72" s="60">
        <v>1.7</v>
      </c>
      <c r="K72" s="60">
        <v>1.5</v>
      </c>
      <c r="L72" s="60">
        <v>1.7</v>
      </c>
      <c r="M72" s="36"/>
      <c r="O72" s="21"/>
    </row>
    <row r="73" spans="1:15" ht="18" hidden="1" x14ac:dyDescent="0.4">
      <c r="A73" s="57" t="s">
        <v>143</v>
      </c>
      <c r="B73" s="58" t="s">
        <v>83</v>
      </c>
      <c r="C73" s="50" t="s">
        <v>119</v>
      </c>
      <c r="D73" s="57" t="s">
        <v>121</v>
      </c>
      <c r="E73" s="57" t="s">
        <v>130</v>
      </c>
      <c r="F73" s="57" t="s">
        <v>74</v>
      </c>
      <c r="G73" s="57" t="s">
        <v>84</v>
      </c>
      <c r="H73" s="59">
        <v>110</v>
      </c>
      <c r="I73" s="60">
        <f>10-10</f>
        <v>0</v>
      </c>
      <c r="J73" s="60">
        <f>3.8+20</f>
        <v>23.8</v>
      </c>
      <c r="K73" s="60">
        <f>3+4</f>
        <v>7</v>
      </c>
      <c r="L73" s="60">
        <f>4-4</f>
        <v>0</v>
      </c>
      <c r="M73" s="36"/>
    </row>
    <row r="74" spans="1:15" ht="18" hidden="1" x14ac:dyDescent="0.4">
      <c r="A74" s="57" t="s">
        <v>144</v>
      </c>
      <c r="B74" s="58" t="s">
        <v>59</v>
      </c>
      <c r="C74" s="57" t="s">
        <v>119</v>
      </c>
      <c r="D74" s="57" t="s">
        <v>121</v>
      </c>
      <c r="E74" s="57" t="s">
        <v>130</v>
      </c>
      <c r="F74" s="57" t="s">
        <v>74</v>
      </c>
      <c r="G74" s="57" t="s">
        <v>60</v>
      </c>
      <c r="H74" s="59">
        <v>816.6</v>
      </c>
      <c r="I74" s="60">
        <f>165-10</f>
        <v>155</v>
      </c>
      <c r="J74" s="60">
        <f>165-15+27.2</f>
        <v>177.2</v>
      </c>
      <c r="K74" s="60">
        <f>10+40+10+150+150</f>
        <v>360</v>
      </c>
      <c r="L74" s="60">
        <f>10+15</f>
        <v>25</v>
      </c>
      <c r="M74" s="36"/>
    </row>
    <row r="75" spans="1:15" s="62" customFormat="1" ht="18" hidden="1" x14ac:dyDescent="0.4">
      <c r="A75" s="54" t="s">
        <v>138</v>
      </c>
      <c r="B75" s="46" t="s">
        <v>87</v>
      </c>
      <c r="C75" s="54" t="s">
        <v>119</v>
      </c>
      <c r="D75" s="54" t="s">
        <v>121</v>
      </c>
      <c r="E75" s="54" t="s">
        <v>130</v>
      </c>
      <c r="F75" s="54" t="s">
        <v>74</v>
      </c>
      <c r="G75" s="54" t="s">
        <v>88</v>
      </c>
      <c r="H75" s="41">
        <f>H76+H77</f>
        <v>396.79999999999995</v>
      </c>
      <c r="I75" s="56">
        <f>I76+I77</f>
        <v>31</v>
      </c>
      <c r="J75" s="56">
        <f>J76+J77</f>
        <v>85</v>
      </c>
      <c r="K75" s="56">
        <f>K76+K77</f>
        <v>10</v>
      </c>
      <c r="L75" s="56">
        <f>L76+L77</f>
        <v>10</v>
      </c>
      <c r="M75" s="36"/>
      <c r="O75" s="6"/>
    </row>
    <row r="76" spans="1:15" s="21" customFormat="1" ht="18" hidden="1" x14ac:dyDescent="0.4">
      <c r="A76" s="57" t="s">
        <v>145</v>
      </c>
      <c r="B76" s="58" t="s">
        <v>90</v>
      </c>
      <c r="C76" s="50" t="s">
        <v>119</v>
      </c>
      <c r="D76" s="57" t="s">
        <v>121</v>
      </c>
      <c r="E76" s="57" t="s">
        <v>130</v>
      </c>
      <c r="F76" s="57" t="s">
        <v>74</v>
      </c>
      <c r="G76" s="57" t="s">
        <v>91</v>
      </c>
      <c r="H76" s="59">
        <v>184.7</v>
      </c>
      <c r="I76" s="60">
        <f>10-1</f>
        <v>9</v>
      </c>
      <c r="J76" s="60">
        <f>60-10+15</f>
        <v>65</v>
      </c>
      <c r="K76" s="60">
        <v>0</v>
      </c>
      <c r="L76" s="60">
        <v>0</v>
      </c>
      <c r="M76" s="36"/>
      <c r="O76" s="62"/>
    </row>
    <row r="77" spans="1:15" s="21" customFormat="1" ht="18" hidden="1" x14ac:dyDescent="0.4">
      <c r="A77" s="57" t="s">
        <v>146</v>
      </c>
      <c r="B77" s="58" t="s">
        <v>93</v>
      </c>
      <c r="C77" s="57" t="s">
        <v>119</v>
      </c>
      <c r="D77" s="57" t="s">
        <v>121</v>
      </c>
      <c r="E77" s="57" t="s">
        <v>130</v>
      </c>
      <c r="F77" s="57" t="s">
        <v>74</v>
      </c>
      <c r="G77" s="57" t="s">
        <v>94</v>
      </c>
      <c r="H77" s="59">
        <v>212.1</v>
      </c>
      <c r="I77" s="60">
        <f>15+7</f>
        <v>22</v>
      </c>
      <c r="J77" s="60">
        <f>15+5</f>
        <v>20</v>
      </c>
      <c r="K77" s="60">
        <f>15-10+5</f>
        <v>10</v>
      </c>
      <c r="L77" s="60">
        <f>15-5</f>
        <v>10</v>
      </c>
      <c r="M77" s="36"/>
    </row>
    <row r="78" spans="1:15" s="21" customFormat="1" ht="18" x14ac:dyDescent="0.4">
      <c r="A78" s="54" t="s">
        <v>147</v>
      </c>
      <c r="B78" s="46" t="s">
        <v>96</v>
      </c>
      <c r="C78" s="33" t="s">
        <v>119</v>
      </c>
      <c r="D78" s="54" t="s">
        <v>121</v>
      </c>
      <c r="E78" s="54" t="s">
        <v>130</v>
      </c>
      <c r="F78" s="54" t="s">
        <v>97</v>
      </c>
      <c r="G78" s="50"/>
      <c r="H78" s="34">
        <f>H79+H81</f>
        <v>48.3</v>
      </c>
      <c r="I78" s="76"/>
      <c r="J78" s="76"/>
      <c r="K78" s="76"/>
      <c r="L78" s="76"/>
      <c r="M78" s="36"/>
    </row>
    <row r="79" spans="1:15" s="21" customFormat="1" ht="35.5" x14ac:dyDescent="0.4">
      <c r="A79" s="54" t="s">
        <v>148</v>
      </c>
      <c r="B79" s="46" t="s">
        <v>99</v>
      </c>
      <c r="C79" s="54" t="s">
        <v>119</v>
      </c>
      <c r="D79" s="54" t="s">
        <v>121</v>
      </c>
      <c r="E79" s="54" t="s">
        <v>130</v>
      </c>
      <c r="F79" s="54" t="s">
        <v>100</v>
      </c>
      <c r="G79" s="50"/>
      <c r="H79" s="34">
        <f>H80</f>
        <v>42.3</v>
      </c>
      <c r="I79" s="76"/>
      <c r="J79" s="76"/>
      <c r="K79" s="76"/>
      <c r="L79" s="76"/>
      <c r="M79" s="36"/>
    </row>
    <row r="80" spans="1:15" s="72" customFormat="1" ht="18" hidden="1" x14ac:dyDescent="0.4">
      <c r="A80" s="54" t="s">
        <v>149</v>
      </c>
      <c r="B80" s="46" t="s">
        <v>102</v>
      </c>
      <c r="C80" s="33" t="s">
        <v>119</v>
      </c>
      <c r="D80" s="54" t="s">
        <v>121</v>
      </c>
      <c r="E80" s="54" t="s">
        <v>130</v>
      </c>
      <c r="F80" s="54" t="s">
        <v>100</v>
      </c>
      <c r="G80" s="33" t="s">
        <v>103</v>
      </c>
      <c r="H80" s="34">
        <v>42.3</v>
      </c>
      <c r="I80" s="77"/>
      <c r="J80" s="77"/>
      <c r="K80" s="77"/>
      <c r="L80" s="77"/>
      <c r="M80" s="36"/>
      <c r="O80" s="21"/>
    </row>
    <row r="81" spans="1:15" s="21" customFormat="1" ht="18" x14ac:dyDescent="0.4">
      <c r="A81" s="54" t="s">
        <v>150</v>
      </c>
      <c r="B81" s="46" t="s">
        <v>105</v>
      </c>
      <c r="C81" s="54" t="s">
        <v>119</v>
      </c>
      <c r="D81" s="54" t="s">
        <v>121</v>
      </c>
      <c r="E81" s="54" t="s">
        <v>130</v>
      </c>
      <c r="F81" s="54" t="s">
        <v>106</v>
      </c>
      <c r="G81" s="50"/>
      <c r="H81" s="34">
        <f>H82</f>
        <v>6</v>
      </c>
      <c r="I81" s="76"/>
      <c r="J81" s="76"/>
      <c r="K81" s="76"/>
      <c r="L81" s="76"/>
      <c r="M81" s="36"/>
      <c r="O81" s="72"/>
    </row>
    <row r="82" spans="1:15" s="21" customFormat="1" ht="22" hidden="1" customHeight="1" x14ac:dyDescent="0.4">
      <c r="A82" s="57" t="s">
        <v>151</v>
      </c>
      <c r="B82" s="58" t="s">
        <v>102</v>
      </c>
      <c r="C82" s="54" t="s">
        <v>119</v>
      </c>
      <c r="D82" s="54" t="s">
        <v>121</v>
      </c>
      <c r="E82" s="54" t="s">
        <v>130</v>
      </c>
      <c r="F82" s="54" t="s">
        <v>106</v>
      </c>
      <c r="G82" s="33" t="s">
        <v>103</v>
      </c>
      <c r="H82" s="34">
        <v>6</v>
      </c>
      <c r="I82" s="71" t="e">
        <f>I84</f>
        <v>#REF!</v>
      </c>
      <c r="J82" s="71" t="e">
        <f>J84</f>
        <v>#REF!</v>
      </c>
      <c r="K82" s="71" t="e">
        <f>K84</f>
        <v>#REF!</v>
      </c>
      <c r="L82" s="71" t="e">
        <f>L84</f>
        <v>#REF!</v>
      </c>
      <c r="M82" s="36"/>
    </row>
    <row r="83" spans="1:15" s="21" customFormat="1" ht="78.5" customHeight="1" x14ac:dyDescent="0.4">
      <c r="A83" s="33" t="s">
        <v>108</v>
      </c>
      <c r="B83" s="78" t="s">
        <v>152</v>
      </c>
      <c r="C83" s="33" t="s">
        <v>119</v>
      </c>
      <c r="D83" s="33" t="s">
        <v>121</v>
      </c>
      <c r="E83" s="33" t="s">
        <v>153</v>
      </c>
      <c r="F83" s="33"/>
      <c r="G83" s="33"/>
      <c r="H83" s="34">
        <f>H84</f>
        <v>5</v>
      </c>
      <c r="I83" s="71"/>
      <c r="J83" s="71"/>
      <c r="K83" s="71"/>
      <c r="L83" s="71"/>
      <c r="M83" s="36"/>
    </row>
    <row r="84" spans="1:15" s="21" customFormat="1" ht="53" x14ac:dyDescent="0.4">
      <c r="A84" s="33" t="s">
        <v>111</v>
      </c>
      <c r="B84" s="78" t="s">
        <v>154</v>
      </c>
      <c r="C84" s="33" t="s">
        <v>119</v>
      </c>
      <c r="D84" s="33" t="s">
        <v>121</v>
      </c>
      <c r="E84" s="33" t="s">
        <v>153</v>
      </c>
      <c r="F84" s="33" t="s">
        <v>155</v>
      </c>
      <c r="G84" s="33"/>
      <c r="H84" s="34">
        <f>H85</f>
        <v>5</v>
      </c>
      <c r="I84" s="71" t="e">
        <f>#REF!+I85</f>
        <v>#REF!</v>
      </c>
      <c r="J84" s="71" t="e">
        <f>#REF!+J85</f>
        <v>#REF!</v>
      </c>
      <c r="K84" s="71" t="e">
        <f>#REF!+K85</f>
        <v>#REF!</v>
      </c>
      <c r="L84" s="71" t="e">
        <f>#REF!+L85</f>
        <v>#REF!</v>
      </c>
      <c r="M84" s="36"/>
    </row>
    <row r="85" spans="1:15" s="21" customFormat="1" ht="18" hidden="1" x14ac:dyDescent="0.4">
      <c r="A85" s="33" t="s">
        <v>114</v>
      </c>
      <c r="B85" s="46" t="s">
        <v>87</v>
      </c>
      <c r="C85" s="54" t="s">
        <v>119</v>
      </c>
      <c r="D85" s="54" t="s">
        <v>121</v>
      </c>
      <c r="E85" s="33" t="s">
        <v>153</v>
      </c>
      <c r="F85" s="33" t="s">
        <v>155</v>
      </c>
      <c r="G85" s="33" t="s">
        <v>88</v>
      </c>
      <c r="H85" s="34">
        <f>H86</f>
        <v>5</v>
      </c>
      <c r="I85" s="71" t="e">
        <f>#REF!+I86</f>
        <v>#REF!</v>
      </c>
      <c r="J85" s="71" t="e">
        <f>#REF!+J86</f>
        <v>#REF!</v>
      </c>
      <c r="K85" s="71" t="e">
        <f>#REF!+K86</f>
        <v>#REF!</v>
      </c>
      <c r="L85" s="71" t="e">
        <f>#REF!+L86</f>
        <v>#REF!</v>
      </c>
      <c r="M85" s="36"/>
    </row>
    <row r="86" spans="1:15" s="21" customFormat="1" ht="21.5" hidden="1" customHeight="1" x14ac:dyDescent="0.4">
      <c r="A86" s="50" t="s">
        <v>115</v>
      </c>
      <c r="B86" s="58" t="s">
        <v>93</v>
      </c>
      <c r="C86" s="57" t="s">
        <v>119</v>
      </c>
      <c r="D86" s="57" t="s">
        <v>121</v>
      </c>
      <c r="E86" s="50" t="s">
        <v>153</v>
      </c>
      <c r="F86" s="50" t="s">
        <v>155</v>
      </c>
      <c r="G86" s="50" t="s">
        <v>94</v>
      </c>
      <c r="H86" s="51">
        <v>5</v>
      </c>
      <c r="I86" s="76">
        <v>0</v>
      </c>
      <c r="J86" s="76">
        <v>12</v>
      </c>
      <c r="K86" s="76">
        <v>0</v>
      </c>
      <c r="L86" s="76">
        <v>0</v>
      </c>
      <c r="M86" s="36"/>
    </row>
    <row r="87" spans="1:15" s="44" customFormat="1" ht="20" customHeight="1" x14ac:dyDescent="0.4">
      <c r="A87" s="33" t="s">
        <v>156</v>
      </c>
      <c r="B87" s="79" t="s">
        <v>157</v>
      </c>
      <c r="C87" s="33" t="s">
        <v>119</v>
      </c>
      <c r="D87" s="33" t="s">
        <v>158</v>
      </c>
      <c r="E87" s="33"/>
      <c r="F87" s="33"/>
      <c r="G87" s="33"/>
      <c r="H87" s="34">
        <f>H88</f>
        <v>70</v>
      </c>
      <c r="I87" s="80">
        <f>I88</f>
        <v>0</v>
      </c>
      <c r="J87" s="80">
        <f>J88</f>
        <v>0</v>
      </c>
      <c r="K87" s="80">
        <f>K88</f>
        <v>217</v>
      </c>
      <c r="L87" s="80">
        <f>L88</f>
        <v>517</v>
      </c>
      <c r="M87" s="36"/>
      <c r="O87" s="21"/>
    </row>
    <row r="88" spans="1:15" s="62" customFormat="1" ht="18" x14ac:dyDescent="0.4">
      <c r="A88" s="33" t="s">
        <v>159</v>
      </c>
      <c r="B88" s="79" t="s">
        <v>160</v>
      </c>
      <c r="C88" s="64" t="s">
        <v>119</v>
      </c>
      <c r="D88" s="33" t="s">
        <v>158</v>
      </c>
      <c r="E88" s="33" t="s">
        <v>161</v>
      </c>
      <c r="F88" s="33"/>
      <c r="G88" s="33"/>
      <c r="H88" s="34">
        <f>H89</f>
        <v>70</v>
      </c>
      <c r="I88" s="71">
        <f>I90</f>
        <v>0</v>
      </c>
      <c r="J88" s="71">
        <f>J90</f>
        <v>0</v>
      </c>
      <c r="K88" s="71">
        <f>K90</f>
        <v>217</v>
      </c>
      <c r="L88" s="71">
        <f>L90</f>
        <v>517</v>
      </c>
      <c r="M88" s="36"/>
      <c r="O88" s="44"/>
    </row>
    <row r="89" spans="1:15" s="62" customFormat="1" ht="18" x14ac:dyDescent="0.4">
      <c r="A89" s="33" t="s">
        <v>162</v>
      </c>
      <c r="B89" s="79" t="s">
        <v>163</v>
      </c>
      <c r="C89" s="64" t="s">
        <v>119</v>
      </c>
      <c r="D89" s="33" t="s">
        <v>158</v>
      </c>
      <c r="E89" s="33" t="s">
        <v>161</v>
      </c>
      <c r="F89" s="33" t="s">
        <v>164</v>
      </c>
      <c r="G89" s="33"/>
      <c r="H89" s="34">
        <f>H90</f>
        <v>70</v>
      </c>
      <c r="I89" s="71"/>
      <c r="J89" s="71"/>
      <c r="K89" s="71"/>
      <c r="L89" s="71"/>
      <c r="M89" s="36"/>
    </row>
    <row r="90" spans="1:15" s="21" customFormat="1" ht="18" x14ac:dyDescent="0.4">
      <c r="A90" s="54" t="s">
        <v>165</v>
      </c>
      <c r="B90" s="46" t="s">
        <v>166</v>
      </c>
      <c r="C90" s="54" t="s">
        <v>119</v>
      </c>
      <c r="D90" s="54" t="s">
        <v>158</v>
      </c>
      <c r="E90" s="54" t="s">
        <v>167</v>
      </c>
      <c r="F90" s="54" t="s">
        <v>168</v>
      </c>
      <c r="G90" s="54"/>
      <c r="H90" s="41">
        <v>70</v>
      </c>
      <c r="I90" s="56">
        <f>I91</f>
        <v>0</v>
      </c>
      <c r="J90" s="56">
        <f>J91</f>
        <v>0</v>
      </c>
      <c r="K90" s="56">
        <f>K91</f>
        <v>217</v>
      </c>
      <c r="L90" s="56">
        <f>L91</f>
        <v>517</v>
      </c>
      <c r="M90" s="36"/>
      <c r="O90" s="62"/>
    </row>
    <row r="91" spans="1:15" s="21" customFormat="1" ht="18" hidden="1" x14ac:dyDescent="0.4">
      <c r="A91" s="57" t="s">
        <v>169</v>
      </c>
      <c r="B91" s="58" t="s">
        <v>102</v>
      </c>
      <c r="C91" s="57" t="s">
        <v>119</v>
      </c>
      <c r="D91" s="57" t="s">
        <v>158</v>
      </c>
      <c r="E91" s="57" t="s">
        <v>167</v>
      </c>
      <c r="F91" s="57" t="s">
        <v>168</v>
      </c>
      <c r="G91" s="57" t="s">
        <v>103</v>
      </c>
      <c r="H91" s="59">
        <v>120</v>
      </c>
      <c r="I91" s="77">
        <v>0</v>
      </c>
      <c r="J91" s="77">
        <v>0</v>
      </c>
      <c r="K91" s="77">
        <f>367-150</f>
        <v>217</v>
      </c>
      <c r="L91" s="77">
        <f>367+150</f>
        <v>517</v>
      </c>
      <c r="M91" s="36"/>
    </row>
    <row r="92" spans="1:15" s="44" customFormat="1" ht="22" customHeight="1" x14ac:dyDescent="0.4">
      <c r="A92" s="33" t="s">
        <v>12</v>
      </c>
      <c r="B92" s="79" t="s">
        <v>109</v>
      </c>
      <c r="C92" s="64" t="s">
        <v>119</v>
      </c>
      <c r="D92" s="33" t="s">
        <v>110</v>
      </c>
      <c r="E92" s="33"/>
      <c r="F92" s="33"/>
      <c r="G92" s="33"/>
      <c r="H92" s="34">
        <f>H93+H98+H103</f>
        <v>475.4</v>
      </c>
      <c r="I92" s="80">
        <f>I93+I98+I103</f>
        <v>25</v>
      </c>
      <c r="J92" s="80">
        <f>J93+J98+J103</f>
        <v>78</v>
      </c>
      <c r="K92" s="80">
        <f>K93+K98+K103</f>
        <v>26</v>
      </c>
      <c r="L92" s="80">
        <f>L93+L98+L103</f>
        <v>41</v>
      </c>
      <c r="M92" s="36"/>
      <c r="O92" s="21"/>
    </row>
    <row r="93" spans="1:15" s="72" customFormat="1" ht="128" customHeight="1" x14ac:dyDescent="0.4">
      <c r="A93" s="33" t="s">
        <v>170</v>
      </c>
      <c r="B93" s="81" t="s">
        <v>171</v>
      </c>
      <c r="C93" s="64" t="s">
        <v>119</v>
      </c>
      <c r="D93" s="33" t="s">
        <v>110</v>
      </c>
      <c r="E93" s="33" t="s">
        <v>172</v>
      </c>
      <c r="F93" s="33"/>
      <c r="G93" s="33"/>
      <c r="H93" s="34">
        <f>H94</f>
        <v>355.4</v>
      </c>
      <c r="I93" s="71">
        <f>I95</f>
        <v>25</v>
      </c>
      <c r="J93" s="71">
        <f>J95</f>
        <v>28</v>
      </c>
      <c r="K93" s="71">
        <f>K95</f>
        <v>26</v>
      </c>
      <c r="L93" s="71">
        <f>L95</f>
        <v>21</v>
      </c>
      <c r="M93" s="36"/>
      <c r="O93" s="44"/>
    </row>
    <row r="94" spans="1:15" s="72" customFormat="1" ht="52.5" customHeight="1" x14ac:dyDescent="0.4">
      <c r="A94" s="33" t="s">
        <v>173</v>
      </c>
      <c r="B94" s="81" t="s">
        <v>174</v>
      </c>
      <c r="C94" s="64" t="s">
        <v>119</v>
      </c>
      <c r="D94" s="33" t="s">
        <v>110</v>
      </c>
      <c r="E94" s="33" t="s">
        <v>172</v>
      </c>
      <c r="F94" s="33" t="s">
        <v>175</v>
      </c>
      <c r="G94" s="33"/>
      <c r="H94" s="34">
        <f>H95</f>
        <v>355.4</v>
      </c>
      <c r="I94" s="71"/>
      <c r="J94" s="71"/>
      <c r="K94" s="71"/>
      <c r="L94" s="71"/>
      <c r="M94" s="36"/>
    </row>
    <row r="95" spans="1:15" s="62" customFormat="1" ht="35.5" x14ac:dyDescent="0.4">
      <c r="A95" s="33" t="s">
        <v>173</v>
      </c>
      <c r="B95" s="46" t="s">
        <v>176</v>
      </c>
      <c r="C95" s="64" t="s">
        <v>119</v>
      </c>
      <c r="D95" s="33" t="s">
        <v>110</v>
      </c>
      <c r="E95" s="33" t="s">
        <v>172</v>
      </c>
      <c r="F95" s="33" t="s">
        <v>116</v>
      </c>
      <c r="G95" s="33"/>
      <c r="H95" s="34">
        <f>H96</f>
        <v>355.4</v>
      </c>
      <c r="I95" s="71">
        <f t="shared" ref="I95:L96" si="0">I96</f>
        <v>25</v>
      </c>
      <c r="J95" s="71">
        <f t="shared" si="0"/>
        <v>28</v>
      </c>
      <c r="K95" s="71">
        <f t="shared" si="0"/>
        <v>26</v>
      </c>
      <c r="L95" s="71">
        <f t="shared" si="0"/>
        <v>21</v>
      </c>
      <c r="M95" s="36"/>
      <c r="O95" s="72"/>
    </row>
    <row r="96" spans="1:15" s="62" customFormat="1" ht="23.5" hidden="1" customHeight="1" x14ac:dyDescent="0.4">
      <c r="A96" s="33" t="s">
        <v>177</v>
      </c>
      <c r="B96" s="46" t="s">
        <v>178</v>
      </c>
      <c r="C96" s="64" t="s">
        <v>119</v>
      </c>
      <c r="D96" s="33" t="s">
        <v>110</v>
      </c>
      <c r="E96" s="33" t="s">
        <v>172</v>
      </c>
      <c r="F96" s="33" t="s">
        <v>179</v>
      </c>
      <c r="G96" s="33" t="s">
        <v>71</v>
      </c>
      <c r="H96" s="34">
        <f>H97</f>
        <v>355.4</v>
      </c>
      <c r="I96" s="71">
        <f t="shared" si="0"/>
        <v>25</v>
      </c>
      <c r="J96" s="71">
        <f t="shared" si="0"/>
        <v>28</v>
      </c>
      <c r="K96" s="71">
        <f t="shared" si="0"/>
        <v>26</v>
      </c>
      <c r="L96" s="71">
        <f t="shared" si="0"/>
        <v>21</v>
      </c>
      <c r="M96" s="36"/>
    </row>
    <row r="97" spans="1:15" s="21" customFormat="1" ht="63" hidden="1" customHeight="1" x14ac:dyDescent="0.4">
      <c r="A97" s="50" t="s">
        <v>180</v>
      </c>
      <c r="B97" s="58" t="s">
        <v>181</v>
      </c>
      <c r="C97" s="82" t="s">
        <v>119</v>
      </c>
      <c r="D97" s="50" t="s">
        <v>110</v>
      </c>
      <c r="E97" s="50" t="s">
        <v>172</v>
      </c>
      <c r="F97" s="50" t="s">
        <v>179</v>
      </c>
      <c r="G97" s="50" t="s">
        <v>182</v>
      </c>
      <c r="H97" s="51">
        <v>355.4</v>
      </c>
      <c r="I97" s="60">
        <v>25</v>
      </c>
      <c r="J97" s="60">
        <v>28</v>
      </c>
      <c r="K97" s="60">
        <v>26</v>
      </c>
      <c r="L97" s="60">
        <v>21</v>
      </c>
      <c r="M97" s="36"/>
      <c r="O97" s="62"/>
    </row>
    <row r="98" spans="1:15" s="21" customFormat="1" ht="60.5" customHeight="1" x14ac:dyDescent="0.4">
      <c r="A98" s="33" t="s">
        <v>183</v>
      </c>
      <c r="B98" s="83" t="s">
        <v>184</v>
      </c>
      <c r="C98" s="64" t="s">
        <v>119</v>
      </c>
      <c r="D98" s="33" t="s">
        <v>110</v>
      </c>
      <c r="E98" s="33" t="s">
        <v>185</v>
      </c>
      <c r="F98" s="33"/>
      <c r="G98" s="33"/>
      <c r="H98" s="34">
        <f>H99</f>
        <v>20</v>
      </c>
      <c r="I98" s="71">
        <f t="shared" ref="I98:L101" si="1">I99</f>
        <v>0</v>
      </c>
      <c r="J98" s="71">
        <f t="shared" si="1"/>
        <v>0</v>
      </c>
      <c r="K98" s="71">
        <f t="shared" si="1"/>
        <v>0</v>
      </c>
      <c r="L98" s="71">
        <f t="shared" si="1"/>
        <v>20</v>
      </c>
      <c r="M98" s="36"/>
    </row>
    <row r="99" spans="1:15" s="21" customFormat="1" ht="36.75" customHeight="1" x14ac:dyDescent="0.4">
      <c r="A99" s="33" t="s">
        <v>186</v>
      </c>
      <c r="B99" s="37" t="s">
        <v>70</v>
      </c>
      <c r="C99" s="33" t="s">
        <v>119</v>
      </c>
      <c r="D99" s="33" t="s">
        <v>110</v>
      </c>
      <c r="E99" s="33" t="s">
        <v>185</v>
      </c>
      <c r="F99" s="33" t="s">
        <v>71</v>
      </c>
      <c r="G99" s="33"/>
      <c r="H99" s="34">
        <f>H100</f>
        <v>20</v>
      </c>
      <c r="I99" s="71">
        <f>I101</f>
        <v>0</v>
      </c>
      <c r="J99" s="71">
        <f>J101</f>
        <v>0</v>
      </c>
      <c r="K99" s="71">
        <f>K101</f>
        <v>0</v>
      </c>
      <c r="L99" s="71">
        <f>L101</f>
        <v>20</v>
      </c>
      <c r="M99" s="36"/>
    </row>
    <row r="100" spans="1:15" s="21" customFormat="1" ht="36.75" customHeight="1" x14ac:dyDescent="0.4">
      <c r="A100" s="33" t="s">
        <v>187</v>
      </c>
      <c r="B100" s="37" t="s">
        <v>73</v>
      </c>
      <c r="C100" s="54" t="s">
        <v>119</v>
      </c>
      <c r="D100" s="33" t="s">
        <v>110</v>
      </c>
      <c r="E100" s="33" t="s">
        <v>185</v>
      </c>
      <c r="F100" s="33" t="s">
        <v>74</v>
      </c>
      <c r="G100" s="33"/>
      <c r="H100" s="34">
        <f>H101</f>
        <v>20</v>
      </c>
      <c r="I100" s="71"/>
      <c r="J100" s="71"/>
      <c r="K100" s="71"/>
      <c r="L100" s="71"/>
      <c r="M100" s="36"/>
    </row>
    <row r="101" spans="1:15" s="84" customFormat="1" ht="18" hidden="1" x14ac:dyDescent="0.4">
      <c r="A101" s="33" t="s">
        <v>188</v>
      </c>
      <c r="B101" s="46" t="s">
        <v>56</v>
      </c>
      <c r="C101" s="64" t="s">
        <v>119</v>
      </c>
      <c r="D101" s="33" t="s">
        <v>110</v>
      </c>
      <c r="E101" s="33" t="s">
        <v>185</v>
      </c>
      <c r="F101" s="33" t="s">
        <v>74</v>
      </c>
      <c r="G101" s="33" t="s">
        <v>57</v>
      </c>
      <c r="H101" s="34">
        <f>H102</f>
        <v>20</v>
      </c>
      <c r="I101" s="71">
        <f t="shared" si="1"/>
        <v>0</v>
      </c>
      <c r="J101" s="71">
        <f t="shared" si="1"/>
        <v>0</v>
      </c>
      <c r="K101" s="71">
        <f t="shared" si="1"/>
        <v>0</v>
      </c>
      <c r="L101" s="71">
        <f t="shared" si="1"/>
        <v>20</v>
      </c>
      <c r="M101" s="36"/>
      <c r="O101" s="21"/>
    </row>
    <row r="102" spans="1:15" s="84" customFormat="1" ht="18" hidden="1" x14ac:dyDescent="0.4">
      <c r="A102" s="50" t="s">
        <v>189</v>
      </c>
      <c r="B102" s="58" t="s">
        <v>59</v>
      </c>
      <c r="C102" s="82" t="s">
        <v>119</v>
      </c>
      <c r="D102" s="50" t="s">
        <v>110</v>
      </c>
      <c r="E102" s="50" t="s">
        <v>185</v>
      </c>
      <c r="F102" s="50" t="s">
        <v>74</v>
      </c>
      <c r="G102" s="50" t="s">
        <v>60</v>
      </c>
      <c r="H102" s="51">
        <f>SUM(I102:L102)</f>
        <v>20</v>
      </c>
      <c r="I102" s="85">
        <v>0</v>
      </c>
      <c r="J102" s="85">
        <v>0</v>
      </c>
      <c r="K102" s="85">
        <v>0</v>
      </c>
      <c r="L102" s="85">
        <v>20</v>
      </c>
      <c r="M102" s="36"/>
    </row>
    <row r="103" spans="1:15" s="84" customFormat="1" ht="38.25" customHeight="1" x14ac:dyDescent="0.4">
      <c r="A103" s="33" t="s">
        <v>190</v>
      </c>
      <c r="B103" s="78" t="s">
        <v>191</v>
      </c>
      <c r="C103" s="64" t="s">
        <v>119</v>
      </c>
      <c r="D103" s="33" t="s">
        <v>110</v>
      </c>
      <c r="E103" s="33" t="s">
        <v>192</v>
      </c>
      <c r="F103" s="33"/>
      <c r="G103" s="33"/>
      <c r="H103" s="34">
        <f>H104</f>
        <v>100</v>
      </c>
      <c r="I103" s="71">
        <f t="shared" ref="I103:L105" si="2">I104</f>
        <v>0</v>
      </c>
      <c r="J103" s="71">
        <f t="shared" si="2"/>
        <v>50</v>
      </c>
      <c r="K103" s="71">
        <f t="shared" si="2"/>
        <v>0</v>
      </c>
      <c r="L103" s="71">
        <f t="shared" si="2"/>
        <v>0</v>
      </c>
      <c r="M103" s="36"/>
    </row>
    <row r="104" spans="1:15" s="84" customFormat="1" ht="35.5" x14ac:dyDescent="0.4">
      <c r="A104" s="33" t="s">
        <v>193</v>
      </c>
      <c r="B104" s="37" t="s">
        <v>70</v>
      </c>
      <c r="C104" s="64" t="s">
        <v>119</v>
      </c>
      <c r="D104" s="33" t="s">
        <v>110</v>
      </c>
      <c r="E104" s="33" t="s">
        <v>192</v>
      </c>
      <c r="F104" s="33" t="s">
        <v>71</v>
      </c>
      <c r="G104" s="33"/>
      <c r="H104" s="34">
        <f>H105</f>
        <v>100</v>
      </c>
      <c r="I104" s="71">
        <f t="shared" si="2"/>
        <v>0</v>
      </c>
      <c r="J104" s="71">
        <f t="shared" si="2"/>
        <v>50</v>
      </c>
      <c r="K104" s="71">
        <f t="shared" si="2"/>
        <v>0</v>
      </c>
      <c r="L104" s="71">
        <f t="shared" si="2"/>
        <v>0</v>
      </c>
      <c r="M104" s="36"/>
    </row>
    <row r="105" spans="1:15" s="84" customFormat="1" ht="35.5" x14ac:dyDescent="0.4">
      <c r="A105" s="33" t="s">
        <v>194</v>
      </c>
      <c r="B105" s="37" t="s">
        <v>73</v>
      </c>
      <c r="C105" s="64" t="s">
        <v>119</v>
      </c>
      <c r="D105" s="33" t="s">
        <v>110</v>
      </c>
      <c r="E105" s="33" t="s">
        <v>192</v>
      </c>
      <c r="F105" s="33" t="s">
        <v>74</v>
      </c>
      <c r="G105" s="33" t="s">
        <v>57</v>
      </c>
      <c r="H105" s="34">
        <f>H106</f>
        <v>100</v>
      </c>
      <c r="I105" s="71">
        <f t="shared" si="2"/>
        <v>0</v>
      </c>
      <c r="J105" s="71">
        <f t="shared" si="2"/>
        <v>50</v>
      </c>
      <c r="K105" s="71">
        <f t="shared" si="2"/>
        <v>0</v>
      </c>
      <c r="L105" s="71">
        <f t="shared" si="2"/>
        <v>0</v>
      </c>
      <c r="M105" s="36"/>
    </row>
    <row r="106" spans="1:15" s="84" customFormat="1" ht="18" hidden="1" x14ac:dyDescent="0.4">
      <c r="A106" s="50" t="s">
        <v>195</v>
      </c>
      <c r="B106" s="58" t="s">
        <v>59</v>
      </c>
      <c r="C106" s="82" t="s">
        <v>119</v>
      </c>
      <c r="D106" s="50" t="s">
        <v>110</v>
      </c>
      <c r="E106" s="50" t="s">
        <v>192</v>
      </c>
      <c r="F106" s="50" t="s">
        <v>74</v>
      </c>
      <c r="G106" s="50" t="s">
        <v>60</v>
      </c>
      <c r="H106" s="51">
        <v>100</v>
      </c>
      <c r="I106" s="85">
        <v>0</v>
      </c>
      <c r="J106" s="85">
        <v>50</v>
      </c>
      <c r="K106" s="85">
        <v>0</v>
      </c>
      <c r="L106" s="85">
        <v>0</v>
      </c>
      <c r="M106" s="36"/>
    </row>
    <row r="107" spans="1:15" s="84" customFormat="1" ht="18" hidden="1" x14ac:dyDescent="0.4">
      <c r="A107" s="33" t="s">
        <v>196</v>
      </c>
      <c r="B107" s="46" t="s">
        <v>87</v>
      </c>
      <c r="C107" s="54" t="s">
        <v>119</v>
      </c>
      <c r="D107" s="33" t="s">
        <v>110</v>
      </c>
      <c r="E107" s="33" t="s">
        <v>197</v>
      </c>
      <c r="F107" s="54" t="s">
        <v>74</v>
      </c>
      <c r="G107" s="54" t="s">
        <v>57</v>
      </c>
      <c r="H107" s="34">
        <f>H108</f>
        <v>70</v>
      </c>
      <c r="I107" s="85"/>
      <c r="J107" s="85"/>
      <c r="K107" s="85"/>
      <c r="L107" s="85"/>
      <c r="M107" s="36"/>
    </row>
    <row r="108" spans="1:15" s="84" customFormat="1" ht="18" hidden="1" x14ac:dyDescent="0.4">
      <c r="A108" s="50" t="s">
        <v>198</v>
      </c>
      <c r="B108" s="58" t="s">
        <v>59</v>
      </c>
      <c r="C108" s="57" t="s">
        <v>119</v>
      </c>
      <c r="D108" s="57" t="s">
        <v>110</v>
      </c>
      <c r="E108" s="50" t="s">
        <v>197</v>
      </c>
      <c r="F108" s="57" t="s">
        <v>74</v>
      </c>
      <c r="G108" s="57" t="s">
        <v>60</v>
      </c>
      <c r="H108" s="51">
        <v>70</v>
      </c>
      <c r="I108" s="85"/>
      <c r="J108" s="85"/>
      <c r="K108" s="85"/>
      <c r="L108" s="85"/>
      <c r="M108" s="36"/>
    </row>
    <row r="109" spans="1:15" s="21" customFormat="1" ht="35.5" x14ac:dyDescent="0.4">
      <c r="A109" s="33" t="s">
        <v>13</v>
      </c>
      <c r="B109" s="79" t="s">
        <v>199</v>
      </c>
      <c r="C109" s="64" t="s">
        <v>119</v>
      </c>
      <c r="D109" s="33" t="s">
        <v>200</v>
      </c>
      <c r="E109" s="33"/>
      <c r="F109" s="33"/>
      <c r="G109" s="33"/>
      <c r="H109" s="34">
        <f>H110</f>
        <v>196.2</v>
      </c>
      <c r="I109" s="80" t="e">
        <f>I111</f>
        <v>#REF!</v>
      </c>
      <c r="J109" s="80" t="e">
        <f>J111</f>
        <v>#REF!</v>
      </c>
      <c r="K109" s="80" t="e">
        <f>K111</f>
        <v>#REF!</v>
      </c>
      <c r="L109" s="80" t="e">
        <f>L111</f>
        <v>#REF!</v>
      </c>
      <c r="M109" s="36"/>
      <c r="O109" s="84"/>
    </row>
    <row r="110" spans="1:15" s="21" customFormat="1" ht="54.75" customHeight="1" x14ac:dyDescent="0.4">
      <c r="A110" s="33" t="s">
        <v>201</v>
      </c>
      <c r="B110" s="69" t="s">
        <v>202</v>
      </c>
      <c r="C110" s="64" t="s">
        <v>119</v>
      </c>
      <c r="D110" s="33" t="s">
        <v>203</v>
      </c>
      <c r="E110" s="33"/>
      <c r="F110" s="33"/>
      <c r="G110" s="33"/>
      <c r="H110" s="34">
        <f>H111</f>
        <v>196.2</v>
      </c>
      <c r="I110" s="71" t="e">
        <f>I111</f>
        <v>#REF!</v>
      </c>
      <c r="J110" s="71" t="e">
        <f>J111</f>
        <v>#REF!</v>
      </c>
      <c r="K110" s="71" t="e">
        <f>K111</f>
        <v>#REF!</v>
      </c>
      <c r="L110" s="71" t="e">
        <f>L111</f>
        <v>#REF!</v>
      </c>
      <c r="M110" s="36"/>
    </row>
    <row r="111" spans="1:15" s="21" customFormat="1" ht="118.5" customHeight="1" x14ac:dyDescent="0.4">
      <c r="A111" s="33" t="s">
        <v>204</v>
      </c>
      <c r="B111" s="86" t="s">
        <v>205</v>
      </c>
      <c r="C111" s="64" t="s">
        <v>119</v>
      </c>
      <c r="D111" s="33" t="s">
        <v>203</v>
      </c>
      <c r="E111" s="33" t="s">
        <v>206</v>
      </c>
      <c r="F111" s="33"/>
      <c r="G111" s="33"/>
      <c r="H111" s="34">
        <f>H112</f>
        <v>196.2</v>
      </c>
      <c r="I111" s="71" t="e">
        <f>I113</f>
        <v>#REF!</v>
      </c>
      <c r="J111" s="71" t="e">
        <f>J113</f>
        <v>#REF!</v>
      </c>
      <c r="K111" s="71" t="e">
        <f>K113</f>
        <v>#REF!</v>
      </c>
      <c r="L111" s="71" t="e">
        <f>L113</f>
        <v>#REF!</v>
      </c>
      <c r="M111" s="36"/>
    </row>
    <row r="112" spans="1:15" s="21" customFormat="1" ht="40.5" customHeight="1" x14ac:dyDescent="0.4">
      <c r="A112" s="33"/>
      <c r="B112" s="37" t="s">
        <v>70</v>
      </c>
      <c r="C112" s="64" t="s">
        <v>119</v>
      </c>
      <c r="D112" s="33" t="s">
        <v>203</v>
      </c>
      <c r="E112" s="33" t="s">
        <v>206</v>
      </c>
      <c r="F112" s="33" t="s">
        <v>71</v>
      </c>
      <c r="G112" s="33"/>
      <c r="H112" s="34">
        <f>H113</f>
        <v>196.2</v>
      </c>
      <c r="I112" s="71"/>
      <c r="J112" s="71"/>
      <c r="K112" s="71"/>
      <c r="L112" s="71"/>
      <c r="M112" s="36"/>
    </row>
    <row r="113" spans="1:13" s="21" customFormat="1" ht="35.5" x14ac:dyDescent="0.4">
      <c r="A113" s="33" t="s">
        <v>204</v>
      </c>
      <c r="B113" s="37" t="s">
        <v>73</v>
      </c>
      <c r="C113" s="64" t="s">
        <v>119</v>
      </c>
      <c r="D113" s="33" t="s">
        <v>203</v>
      </c>
      <c r="E113" s="33" t="s">
        <v>206</v>
      </c>
      <c r="F113" s="33" t="s">
        <v>74</v>
      </c>
      <c r="G113" s="33"/>
      <c r="H113" s="34">
        <v>196.2</v>
      </c>
      <c r="I113" s="71" t="e">
        <f>#REF!+I114</f>
        <v>#REF!</v>
      </c>
      <c r="J113" s="71" t="e">
        <f>#REF!+J114</f>
        <v>#REF!</v>
      </c>
      <c r="K113" s="71" t="e">
        <f>#REF!+K114</f>
        <v>#REF!</v>
      </c>
      <c r="L113" s="71" t="e">
        <f>#REF!+L114</f>
        <v>#REF!</v>
      </c>
      <c r="M113" s="36"/>
    </row>
    <row r="114" spans="1:13" s="21" customFormat="1" ht="18" hidden="1" x14ac:dyDescent="0.4">
      <c r="A114" s="33" t="s">
        <v>207</v>
      </c>
      <c r="B114" s="46" t="s">
        <v>87</v>
      </c>
      <c r="C114" s="64" t="s">
        <v>119</v>
      </c>
      <c r="D114" s="33" t="s">
        <v>203</v>
      </c>
      <c r="E114" s="87" t="s">
        <v>206</v>
      </c>
      <c r="F114" s="54" t="s">
        <v>74</v>
      </c>
      <c r="G114" s="54" t="s">
        <v>88</v>
      </c>
      <c r="H114" s="41">
        <f>SUM(H115:H116)</f>
        <v>100</v>
      </c>
      <c r="I114" s="56">
        <f>SUM(I115:I116)</f>
        <v>28</v>
      </c>
      <c r="J114" s="56">
        <f>SUM(J115:J116)</f>
        <v>0</v>
      </c>
      <c r="K114" s="56">
        <f>SUM(K115:K116)</f>
        <v>0</v>
      </c>
      <c r="L114" s="56">
        <f>SUM(L115:L116)</f>
        <v>0</v>
      </c>
      <c r="M114" s="36"/>
    </row>
    <row r="115" spans="1:13" s="21" customFormat="1" ht="18" hidden="1" x14ac:dyDescent="0.4">
      <c r="A115" s="50" t="s">
        <v>208</v>
      </c>
      <c r="B115" s="58" t="s">
        <v>209</v>
      </c>
      <c r="C115" s="64" t="s">
        <v>119</v>
      </c>
      <c r="D115" s="50" t="s">
        <v>203</v>
      </c>
      <c r="E115" s="88" t="s">
        <v>206</v>
      </c>
      <c r="F115" s="50" t="s">
        <v>74</v>
      </c>
      <c r="G115" s="57" t="s">
        <v>91</v>
      </c>
      <c r="H115" s="59">
        <v>55</v>
      </c>
      <c r="I115" s="76">
        <f>10+11.3</f>
        <v>21.3</v>
      </c>
      <c r="J115" s="76">
        <v>0</v>
      </c>
      <c r="K115" s="76">
        <v>0</v>
      </c>
      <c r="L115" s="76">
        <v>0</v>
      </c>
      <c r="M115" s="36"/>
    </row>
    <row r="116" spans="1:13" s="21" customFormat="1" ht="18" hidden="1" x14ac:dyDescent="0.4">
      <c r="A116" s="50" t="s">
        <v>210</v>
      </c>
      <c r="B116" s="58" t="s">
        <v>93</v>
      </c>
      <c r="C116" s="64" t="s">
        <v>119</v>
      </c>
      <c r="D116" s="50" t="s">
        <v>203</v>
      </c>
      <c r="E116" s="88" t="s">
        <v>206</v>
      </c>
      <c r="F116" s="57" t="s">
        <v>74</v>
      </c>
      <c r="G116" s="57" t="s">
        <v>94</v>
      </c>
      <c r="H116" s="59">
        <v>45</v>
      </c>
      <c r="I116" s="76">
        <f>8-1.3</f>
        <v>6.7</v>
      </c>
      <c r="J116" s="76">
        <v>0</v>
      </c>
      <c r="K116" s="76">
        <v>0</v>
      </c>
      <c r="L116" s="76">
        <v>0</v>
      </c>
      <c r="M116" s="36"/>
    </row>
    <row r="117" spans="1:13" s="21" customFormat="1" ht="18" x14ac:dyDescent="0.4">
      <c r="A117" s="33" t="s">
        <v>14</v>
      </c>
      <c r="B117" s="79" t="s">
        <v>211</v>
      </c>
      <c r="C117" s="64" t="s">
        <v>119</v>
      </c>
      <c r="D117" s="33" t="s">
        <v>212</v>
      </c>
      <c r="E117" s="33"/>
      <c r="F117" s="33"/>
      <c r="G117" s="33"/>
      <c r="H117" s="34">
        <f>H118</f>
        <v>100</v>
      </c>
      <c r="I117" s="80" t="e">
        <f>#REF!</f>
        <v>#REF!</v>
      </c>
      <c r="J117" s="80" t="e">
        <f>#REF!</f>
        <v>#REF!</v>
      </c>
      <c r="K117" s="80" t="e">
        <f>#REF!</f>
        <v>#REF!</v>
      </c>
      <c r="L117" s="80" t="e">
        <f>#REF!</f>
        <v>#REF!</v>
      </c>
      <c r="M117" s="36"/>
    </row>
    <row r="118" spans="1:13" s="21" customFormat="1" ht="18" x14ac:dyDescent="0.4">
      <c r="A118" s="33" t="s">
        <v>213</v>
      </c>
      <c r="B118" s="79" t="s">
        <v>214</v>
      </c>
      <c r="C118" s="64" t="s">
        <v>119</v>
      </c>
      <c r="D118" s="33" t="s">
        <v>215</v>
      </c>
      <c r="E118" s="33"/>
      <c r="F118" s="33"/>
      <c r="G118" s="33"/>
      <c r="H118" s="34">
        <f>H119</f>
        <v>100</v>
      </c>
      <c r="I118" s="80"/>
      <c r="J118" s="80"/>
      <c r="K118" s="80"/>
      <c r="L118" s="80"/>
      <c r="M118" s="36"/>
    </row>
    <row r="119" spans="1:13" s="21" customFormat="1" ht="35.5" x14ac:dyDescent="0.4">
      <c r="A119" s="33" t="s">
        <v>216</v>
      </c>
      <c r="B119" s="79" t="s">
        <v>217</v>
      </c>
      <c r="C119" s="64" t="s">
        <v>119</v>
      </c>
      <c r="D119" s="33" t="s">
        <v>215</v>
      </c>
      <c r="E119" s="33" t="s">
        <v>218</v>
      </c>
      <c r="F119" s="33"/>
      <c r="G119" s="33"/>
      <c r="H119" s="34">
        <f>H120</f>
        <v>100</v>
      </c>
      <c r="I119" s="80"/>
      <c r="J119" s="80"/>
      <c r="K119" s="80"/>
      <c r="L119" s="80"/>
      <c r="M119" s="36"/>
    </row>
    <row r="120" spans="1:13" s="21" customFormat="1" ht="70.5" x14ac:dyDescent="0.4">
      <c r="A120" s="33" t="s">
        <v>219</v>
      </c>
      <c r="B120" s="79" t="s">
        <v>220</v>
      </c>
      <c r="C120" s="64" t="s">
        <v>119</v>
      </c>
      <c r="D120" s="33" t="s">
        <v>215</v>
      </c>
      <c r="E120" s="33" t="s">
        <v>221</v>
      </c>
      <c r="F120" s="33"/>
      <c r="G120" s="33"/>
      <c r="H120" s="34">
        <f>H121</f>
        <v>100</v>
      </c>
      <c r="I120" s="80"/>
      <c r="J120" s="80"/>
      <c r="K120" s="80"/>
      <c r="L120" s="80"/>
      <c r="M120" s="36"/>
    </row>
    <row r="121" spans="1:13" s="21" customFormat="1" ht="18" x14ac:dyDescent="0.4">
      <c r="A121" s="33" t="s">
        <v>222</v>
      </c>
      <c r="B121" s="79" t="s">
        <v>163</v>
      </c>
      <c r="C121" s="64" t="s">
        <v>119</v>
      </c>
      <c r="D121" s="33" t="s">
        <v>215</v>
      </c>
      <c r="E121" s="33" t="s">
        <v>221</v>
      </c>
      <c r="F121" s="33" t="s">
        <v>164</v>
      </c>
      <c r="G121" s="33"/>
      <c r="H121" s="34">
        <f>H122</f>
        <v>100</v>
      </c>
      <c r="I121" s="80"/>
      <c r="J121" s="80"/>
      <c r="K121" s="80"/>
      <c r="L121" s="80"/>
      <c r="M121" s="36"/>
    </row>
    <row r="122" spans="1:13" s="21" customFormat="1" ht="53" x14ac:dyDescent="0.4">
      <c r="A122" s="33" t="s">
        <v>223</v>
      </c>
      <c r="B122" s="79" t="s">
        <v>224</v>
      </c>
      <c r="C122" s="64" t="s">
        <v>119</v>
      </c>
      <c r="D122" s="33" t="s">
        <v>215</v>
      </c>
      <c r="E122" s="33" t="s">
        <v>221</v>
      </c>
      <c r="F122" s="33" t="s">
        <v>179</v>
      </c>
      <c r="G122" s="33"/>
      <c r="H122" s="34">
        <v>100</v>
      </c>
      <c r="I122" s="80"/>
      <c r="J122" s="80"/>
      <c r="K122" s="80"/>
      <c r="L122" s="80"/>
      <c r="M122" s="36"/>
    </row>
    <row r="123" spans="1:13" s="21" customFormat="1" ht="18" hidden="1" x14ac:dyDescent="0.4">
      <c r="A123" s="33" t="s">
        <v>222</v>
      </c>
      <c r="B123" s="46" t="s">
        <v>178</v>
      </c>
      <c r="C123" s="64" t="s">
        <v>119</v>
      </c>
      <c r="D123" s="33" t="s">
        <v>215</v>
      </c>
      <c r="E123" s="33" t="s">
        <v>225</v>
      </c>
      <c r="F123" s="33" t="s">
        <v>179</v>
      </c>
      <c r="G123" s="33" t="s">
        <v>71</v>
      </c>
      <c r="H123" s="34">
        <f>'[2]Ропись 2013 утвержд.'!H130</f>
        <v>583.20000000000005</v>
      </c>
      <c r="I123" s="80"/>
      <c r="J123" s="80"/>
      <c r="K123" s="80"/>
      <c r="L123" s="80"/>
      <c r="M123" s="36"/>
    </row>
    <row r="124" spans="1:13" s="21" customFormat="1" ht="19.5" customHeight="1" x14ac:dyDescent="0.4">
      <c r="A124" s="33" t="s">
        <v>15</v>
      </c>
      <c r="B124" s="79" t="s">
        <v>226</v>
      </c>
      <c r="C124" s="64" t="s">
        <v>119</v>
      </c>
      <c r="D124" s="33" t="s">
        <v>227</v>
      </c>
      <c r="E124" s="87"/>
      <c r="F124" s="33"/>
      <c r="G124" s="33"/>
      <c r="H124" s="34">
        <f>H125</f>
        <v>12774</v>
      </c>
      <c r="I124" s="80" t="e">
        <f>#REF!+I125</f>
        <v>#REF!</v>
      </c>
      <c r="J124" s="80" t="e">
        <f>#REF!+J125</f>
        <v>#REF!</v>
      </c>
      <c r="K124" s="80" t="e">
        <f>#REF!+K125</f>
        <v>#REF!</v>
      </c>
      <c r="L124" s="80" t="e">
        <f>#REF!+L125</f>
        <v>#REF!</v>
      </c>
      <c r="M124" s="36"/>
    </row>
    <row r="125" spans="1:13" s="21" customFormat="1" ht="17.25" customHeight="1" x14ac:dyDescent="0.4">
      <c r="A125" s="33" t="s">
        <v>228</v>
      </c>
      <c r="B125" s="79" t="s">
        <v>229</v>
      </c>
      <c r="C125" s="64" t="s">
        <v>119</v>
      </c>
      <c r="D125" s="33" t="s">
        <v>230</v>
      </c>
      <c r="E125" s="87" t="s">
        <v>231</v>
      </c>
      <c r="F125" s="33"/>
      <c r="G125" s="33"/>
      <c r="H125" s="34">
        <f>H127+H140+H146+H153+H173+H182+H187+H192+H197</f>
        <v>12774</v>
      </c>
      <c r="I125" s="89" t="e">
        <f>I126+I146+#REF!+I153+#REF!+#REF!+I182+#REF!+I187+I192+I197</f>
        <v>#REF!</v>
      </c>
      <c r="J125" s="89" t="e">
        <f>J126+J146+#REF!+J153+#REF!+#REF!+J182+#REF!+J187+J192+J197</f>
        <v>#REF!</v>
      </c>
      <c r="K125" s="89" t="e">
        <f>K126+K146+#REF!+K153+#REF!+#REF!+K182+#REF!+K187+K192+K197</f>
        <v>#REF!</v>
      </c>
      <c r="L125" s="89" t="e">
        <f>L126+L146+#REF!+L153+#REF!+#REF!+L182+#REF!+L187+L192+L197</f>
        <v>#REF!</v>
      </c>
      <c r="M125" s="36"/>
    </row>
    <row r="126" spans="1:13" s="21" customFormat="1" ht="39" customHeight="1" x14ac:dyDescent="0.4">
      <c r="A126" s="33" t="s">
        <v>232</v>
      </c>
      <c r="B126" s="79" t="s">
        <v>233</v>
      </c>
      <c r="C126" s="64" t="s">
        <v>119</v>
      </c>
      <c r="D126" s="33" t="s">
        <v>230</v>
      </c>
      <c r="E126" s="87" t="s">
        <v>234</v>
      </c>
      <c r="F126" s="33"/>
      <c r="G126" s="33"/>
      <c r="H126" s="34">
        <f>H127+H140</f>
        <v>633.4</v>
      </c>
      <c r="I126" s="71" t="e">
        <f>I127+I135</f>
        <v>#REF!</v>
      </c>
      <c r="J126" s="71" t="e">
        <f>J127+J135</f>
        <v>#REF!</v>
      </c>
      <c r="K126" s="71" t="e">
        <f>K127+K135</f>
        <v>#REF!</v>
      </c>
      <c r="L126" s="71" t="e">
        <f>L127+L135</f>
        <v>#REF!</v>
      </c>
      <c r="M126" s="36"/>
    </row>
    <row r="127" spans="1:13" s="21" customFormat="1" ht="35.25" customHeight="1" x14ac:dyDescent="0.4">
      <c r="A127" s="33" t="s">
        <v>235</v>
      </c>
      <c r="B127" s="78" t="s">
        <v>236</v>
      </c>
      <c r="C127" s="64" t="s">
        <v>119</v>
      </c>
      <c r="D127" s="33" t="s">
        <v>230</v>
      </c>
      <c r="E127" s="87" t="s">
        <v>237</v>
      </c>
      <c r="F127" s="50"/>
      <c r="G127" s="50"/>
      <c r="H127" s="34">
        <f>H128</f>
        <v>333.9</v>
      </c>
      <c r="I127" s="89" t="e">
        <f>I129</f>
        <v>#REF!</v>
      </c>
      <c r="J127" s="89" t="e">
        <f>J129</f>
        <v>#REF!</v>
      </c>
      <c r="K127" s="89" t="e">
        <f>K129</f>
        <v>#REF!</v>
      </c>
      <c r="L127" s="89" t="e">
        <f>L129</f>
        <v>#REF!</v>
      </c>
      <c r="M127" s="36"/>
    </row>
    <row r="128" spans="1:13" s="21" customFormat="1" ht="35.25" customHeight="1" x14ac:dyDescent="0.4">
      <c r="A128" s="33" t="s">
        <v>238</v>
      </c>
      <c r="B128" s="37" t="s">
        <v>70</v>
      </c>
      <c r="C128" s="33" t="s">
        <v>119</v>
      </c>
      <c r="D128" s="33" t="s">
        <v>230</v>
      </c>
      <c r="E128" s="87" t="s">
        <v>237</v>
      </c>
      <c r="F128" s="33" t="s">
        <v>71</v>
      </c>
      <c r="G128" s="50"/>
      <c r="H128" s="34">
        <f>H129</f>
        <v>333.9</v>
      </c>
      <c r="I128" s="89"/>
      <c r="J128" s="89"/>
      <c r="K128" s="89"/>
      <c r="L128" s="89"/>
      <c r="M128" s="36"/>
    </row>
    <row r="129" spans="1:13" s="21" customFormat="1" ht="39" customHeight="1" x14ac:dyDescent="0.4">
      <c r="A129" s="33" t="s">
        <v>239</v>
      </c>
      <c r="B129" s="37" t="s">
        <v>73</v>
      </c>
      <c r="C129" s="54" t="s">
        <v>119</v>
      </c>
      <c r="D129" s="33" t="s">
        <v>230</v>
      </c>
      <c r="E129" s="87" t="s">
        <v>237</v>
      </c>
      <c r="F129" s="33" t="s">
        <v>74</v>
      </c>
      <c r="G129" s="33"/>
      <c r="H129" s="34">
        <v>333.9</v>
      </c>
      <c r="I129" s="71" t="e">
        <f>I130+#REF!</f>
        <v>#REF!</v>
      </c>
      <c r="J129" s="71" t="e">
        <f>J130+#REF!</f>
        <v>#REF!</v>
      </c>
      <c r="K129" s="71" t="e">
        <f>K130+#REF!</f>
        <v>#REF!</v>
      </c>
      <c r="L129" s="71" t="e">
        <f>L130+#REF!</f>
        <v>#REF!</v>
      </c>
      <c r="M129" s="36"/>
    </row>
    <row r="130" spans="1:13" s="21" customFormat="1" ht="19.5" hidden="1" customHeight="1" x14ac:dyDescent="0.4">
      <c r="A130" s="33" t="s">
        <v>240</v>
      </c>
      <c r="B130" s="46" t="s">
        <v>56</v>
      </c>
      <c r="C130" s="64" t="s">
        <v>119</v>
      </c>
      <c r="D130" s="33" t="s">
        <v>230</v>
      </c>
      <c r="E130" s="87" t="s">
        <v>237</v>
      </c>
      <c r="F130" s="33" t="s">
        <v>74</v>
      </c>
      <c r="G130" s="33" t="s">
        <v>57</v>
      </c>
      <c r="H130" s="34">
        <f>H131</f>
        <v>110</v>
      </c>
      <c r="I130" s="71">
        <f>I134</f>
        <v>0</v>
      </c>
      <c r="J130" s="71">
        <f>J134</f>
        <v>211</v>
      </c>
      <c r="K130" s="71">
        <f>K134</f>
        <v>290</v>
      </c>
      <c r="L130" s="71">
        <f>L134</f>
        <v>0</v>
      </c>
      <c r="M130" s="36"/>
    </row>
    <row r="131" spans="1:13" s="21" customFormat="1" ht="19.5" hidden="1" customHeight="1" x14ac:dyDescent="0.4">
      <c r="A131" s="50" t="s">
        <v>241</v>
      </c>
      <c r="B131" s="58" t="s">
        <v>83</v>
      </c>
      <c r="C131" s="82" t="s">
        <v>119</v>
      </c>
      <c r="D131" s="50" t="s">
        <v>230</v>
      </c>
      <c r="E131" s="88" t="s">
        <v>237</v>
      </c>
      <c r="F131" s="50" t="s">
        <v>74</v>
      </c>
      <c r="G131" s="50" t="s">
        <v>84</v>
      </c>
      <c r="H131" s="51">
        <v>110</v>
      </c>
      <c r="I131" s="71"/>
      <c r="J131" s="71"/>
      <c r="K131" s="71"/>
      <c r="L131" s="71"/>
      <c r="M131" s="36"/>
    </row>
    <row r="132" spans="1:13" s="21" customFormat="1" ht="19.5" hidden="1" customHeight="1" x14ac:dyDescent="0.4">
      <c r="A132" s="33" t="s">
        <v>242</v>
      </c>
      <c r="B132" s="40" t="s">
        <v>87</v>
      </c>
      <c r="C132" s="64" t="s">
        <v>119</v>
      </c>
      <c r="D132" s="33" t="s">
        <v>230</v>
      </c>
      <c r="E132" s="87" t="s">
        <v>237</v>
      </c>
      <c r="F132" s="33" t="s">
        <v>74</v>
      </c>
      <c r="G132" s="33" t="s">
        <v>88</v>
      </c>
      <c r="H132" s="34">
        <f>H134+H133</f>
        <v>335</v>
      </c>
      <c r="I132" s="71"/>
      <c r="J132" s="71"/>
      <c r="K132" s="71"/>
      <c r="L132" s="71"/>
      <c r="M132" s="36"/>
    </row>
    <row r="133" spans="1:13" s="21" customFormat="1" ht="19.5" hidden="1" customHeight="1" x14ac:dyDescent="0.4">
      <c r="A133" s="50" t="s">
        <v>243</v>
      </c>
      <c r="B133" s="90" t="s">
        <v>209</v>
      </c>
      <c r="C133" s="82" t="s">
        <v>119</v>
      </c>
      <c r="D133" s="50" t="s">
        <v>230</v>
      </c>
      <c r="E133" s="88" t="s">
        <v>237</v>
      </c>
      <c r="F133" s="50" t="s">
        <v>74</v>
      </c>
      <c r="G133" s="50" t="s">
        <v>91</v>
      </c>
      <c r="H133" s="51">
        <v>315</v>
      </c>
      <c r="I133" s="71"/>
      <c r="J133" s="71"/>
      <c r="K133" s="71"/>
      <c r="L133" s="71"/>
      <c r="M133" s="36"/>
    </row>
    <row r="134" spans="1:13" s="21" customFormat="1" ht="17.25" hidden="1" customHeight="1" x14ac:dyDescent="0.4">
      <c r="A134" s="50" t="s">
        <v>244</v>
      </c>
      <c r="B134" s="58" t="s">
        <v>93</v>
      </c>
      <c r="C134" s="82" t="s">
        <v>119</v>
      </c>
      <c r="D134" s="50" t="s">
        <v>230</v>
      </c>
      <c r="E134" s="88" t="s">
        <v>237</v>
      </c>
      <c r="F134" s="50" t="s">
        <v>74</v>
      </c>
      <c r="G134" s="50" t="s">
        <v>94</v>
      </c>
      <c r="H134" s="51">
        <v>20</v>
      </c>
      <c r="I134" s="76">
        <v>0</v>
      </c>
      <c r="J134" s="76">
        <f>290-2-77</f>
        <v>211</v>
      </c>
      <c r="K134" s="76">
        <v>290</v>
      </c>
      <c r="L134" s="76">
        <v>0</v>
      </c>
      <c r="M134" s="36"/>
    </row>
    <row r="135" spans="1:13" s="21" customFormat="1" ht="50.25" hidden="1" customHeight="1" x14ac:dyDescent="0.4">
      <c r="A135" s="33" t="s">
        <v>245</v>
      </c>
      <c r="B135" s="78" t="s">
        <v>246</v>
      </c>
      <c r="C135" s="33" t="s">
        <v>119</v>
      </c>
      <c r="D135" s="33" t="s">
        <v>230</v>
      </c>
      <c r="E135" s="87" t="s">
        <v>247</v>
      </c>
      <c r="F135" s="33"/>
      <c r="G135" s="33"/>
      <c r="H135" s="34">
        <f>H136</f>
        <v>0</v>
      </c>
      <c r="I135" s="89">
        <f t="shared" ref="I135:L136" si="3">I136</f>
        <v>0</v>
      </c>
      <c r="J135" s="89">
        <f t="shared" si="3"/>
        <v>115</v>
      </c>
      <c r="K135" s="89">
        <f t="shared" si="3"/>
        <v>95</v>
      </c>
      <c r="L135" s="89">
        <f t="shared" si="3"/>
        <v>0</v>
      </c>
      <c r="M135" s="36"/>
    </row>
    <row r="136" spans="1:13" s="21" customFormat="1" ht="32.25" hidden="1" customHeight="1" x14ac:dyDescent="0.4">
      <c r="A136" s="33" t="s">
        <v>248</v>
      </c>
      <c r="B136" s="46" t="s">
        <v>249</v>
      </c>
      <c r="C136" s="33" t="s">
        <v>119</v>
      </c>
      <c r="D136" s="33" t="s">
        <v>230</v>
      </c>
      <c r="E136" s="87" t="s">
        <v>247</v>
      </c>
      <c r="F136" s="33" t="s">
        <v>250</v>
      </c>
      <c r="G136" s="33"/>
      <c r="H136" s="34">
        <f>H137</f>
        <v>0</v>
      </c>
      <c r="I136" s="71">
        <f t="shared" si="3"/>
        <v>0</v>
      </c>
      <c r="J136" s="71">
        <f t="shared" si="3"/>
        <v>115</v>
      </c>
      <c r="K136" s="71">
        <f t="shared" si="3"/>
        <v>95</v>
      </c>
      <c r="L136" s="71">
        <f t="shared" si="3"/>
        <v>0</v>
      </c>
      <c r="M136" s="36"/>
    </row>
    <row r="137" spans="1:13" s="21" customFormat="1" ht="24.75" hidden="1" customHeight="1" x14ac:dyDescent="0.4">
      <c r="A137" s="33" t="s">
        <v>251</v>
      </c>
      <c r="B137" s="40" t="s">
        <v>87</v>
      </c>
      <c r="C137" s="64" t="s">
        <v>119</v>
      </c>
      <c r="D137" s="33" t="s">
        <v>230</v>
      </c>
      <c r="E137" s="87" t="s">
        <v>247</v>
      </c>
      <c r="F137" s="33" t="s">
        <v>250</v>
      </c>
      <c r="G137" s="33" t="s">
        <v>88</v>
      </c>
      <c r="H137" s="34">
        <f>H138+H139</f>
        <v>0</v>
      </c>
      <c r="I137" s="71">
        <f>I138+I139</f>
        <v>0</v>
      </c>
      <c r="J137" s="71">
        <f>J138+J139</f>
        <v>115</v>
      </c>
      <c r="K137" s="71">
        <f>K138+K139</f>
        <v>95</v>
      </c>
      <c r="L137" s="71">
        <f>L138+L139</f>
        <v>0</v>
      </c>
      <c r="M137" s="36"/>
    </row>
    <row r="138" spans="1:13" s="21" customFormat="1" ht="24.75" hidden="1" customHeight="1" x14ac:dyDescent="0.4">
      <c r="A138" s="50" t="s">
        <v>252</v>
      </c>
      <c r="B138" s="58" t="s">
        <v>209</v>
      </c>
      <c r="C138" s="82" t="s">
        <v>119</v>
      </c>
      <c r="D138" s="50" t="s">
        <v>230</v>
      </c>
      <c r="E138" s="88" t="s">
        <v>247</v>
      </c>
      <c r="F138" s="50" t="s">
        <v>250</v>
      </c>
      <c r="G138" s="50" t="s">
        <v>91</v>
      </c>
      <c r="H138" s="51">
        <v>0</v>
      </c>
      <c r="I138" s="76">
        <v>0</v>
      </c>
      <c r="J138" s="76">
        <v>95</v>
      </c>
      <c r="K138" s="76">
        <v>95</v>
      </c>
      <c r="L138" s="76">
        <v>0</v>
      </c>
      <c r="M138" s="36"/>
    </row>
    <row r="139" spans="1:13" s="21" customFormat="1" ht="27" hidden="1" customHeight="1" x14ac:dyDescent="0.4">
      <c r="A139" s="50" t="s">
        <v>253</v>
      </c>
      <c r="B139" s="58" t="s">
        <v>93</v>
      </c>
      <c r="C139" s="82" t="s">
        <v>119</v>
      </c>
      <c r="D139" s="50" t="s">
        <v>230</v>
      </c>
      <c r="E139" s="88" t="s">
        <v>247</v>
      </c>
      <c r="F139" s="50" t="s">
        <v>250</v>
      </c>
      <c r="G139" s="50" t="s">
        <v>94</v>
      </c>
      <c r="H139" s="51">
        <v>0</v>
      </c>
      <c r="I139" s="76">
        <v>0</v>
      </c>
      <c r="J139" s="76">
        <v>20</v>
      </c>
      <c r="K139" s="76">
        <v>0</v>
      </c>
      <c r="L139" s="76">
        <v>0</v>
      </c>
      <c r="M139" s="36"/>
    </row>
    <row r="140" spans="1:13" s="21" customFormat="1" ht="72.5" customHeight="1" x14ac:dyDescent="0.4">
      <c r="A140" s="33" t="s">
        <v>254</v>
      </c>
      <c r="B140" s="78" t="s">
        <v>255</v>
      </c>
      <c r="C140" s="33" t="s">
        <v>119</v>
      </c>
      <c r="D140" s="33" t="s">
        <v>230</v>
      </c>
      <c r="E140" s="87" t="s">
        <v>247</v>
      </c>
      <c r="F140" s="33"/>
      <c r="G140" s="33"/>
      <c r="H140" s="34">
        <f>H141</f>
        <v>299.5</v>
      </c>
      <c r="I140" s="76"/>
      <c r="J140" s="76"/>
      <c r="K140" s="76"/>
      <c r="L140" s="76"/>
      <c r="M140" s="36"/>
    </row>
    <row r="141" spans="1:13" s="21" customFormat="1" ht="43.5" customHeight="1" x14ac:dyDescent="0.4">
      <c r="A141" s="33" t="s">
        <v>256</v>
      </c>
      <c r="B141" s="78" t="s">
        <v>70</v>
      </c>
      <c r="C141" s="33" t="s">
        <v>119</v>
      </c>
      <c r="D141" s="33" t="s">
        <v>230</v>
      </c>
      <c r="E141" s="87" t="s">
        <v>247</v>
      </c>
      <c r="F141" s="33" t="s">
        <v>71</v>
      </c>
      <c r="G141" s="33"/>
      <c r="H141" s="34">
        <f>H142</f>
        <v>299.5</v>
      </c>
      <c r="I141" s="76"/>
      <c r="J141" s="76"/>
      <c r="K141" s="76"/>
      <c r="L141" s="76"/>
      <c r="M141" s="36"/>
    </row>
    <row r="142" spans="1:13" s="21" customFormat="1" ht="35.25" customHeight="1" x14ac:dyDescent="0.4">
      <c r="A142" s="33" t="s">
        <v>257</v>
      </c>
      <c r="B142" s="46" t="s">
        <v>73</v>
      </c>
      <c r="C142" s="33" t="s">
        <v>119</v>
      </c>
      <c r="D142" s="33" t="s">
        <v>230</v>
      </c>
      <c r="E142" s="87" t="s">
        <v>247</v>
      </c>
      <c r="F142" s="33" t="s">
        <v>74</v>
      </c>
      <c r="G142" s="33"/>
      <c r="H142" s="34">
        <v>299.5</v>
      </c>
      <c r="I142" s="76"/>
      <c r="J142" s="76"/>
      <c r="K142" s="76"/>
      <c r="L142" s="76"/>
      <c r="M142" s="36"/>
    </row>
    <row r="143" spans="1:13" s="21" customFormat="1" ht="27" hidden="1" customHeight="1" x14ac:dyDescent="0.4">
      <c r="A143" s="33" t="s">
        <v>258</v>
      </c>
      <c r="B143" s="40" t="s">
        <v>87</v>
      </c>
      <c r="C143" s="64" t="s">
        <v>119</v>
      </c>
      <c r="D143" s="33" t="s">
        <v>230</v>
      </c>
      <c r="E143" s="87" t="s">
        <v>247</v>
      </c>
      <c r="F143" s="33" t="s">
        <v>74</v>
      </c>
      <c r="G143" s="33" t="s">
        <v>88</v>
      </c>
      <c r="H143" s="34">
        <f>H144+H145</f>
        <v>290</v>
      </c>
      <c r="I143" s="76"/>
      <c r="J143" s="76"/>
      <c r="K143" s="76"/>
      <c r="L143" s="76"/>
      <c r="M143" s="36"/>
    </row>
    <row r="144" spans="1:13" s="21" customFormat="1" ht="27" hidden="1" customHeight="1" x14ac:dyDescent="0.4">
      <c r="A144" s="50" t="s">
        <v>259</v>
      </c>
      <c r="B144" s="90" t="s">
        <v>209</v>
      </c>
      <c r="C144" s="82" t="s">
        <v>119</v>
      </c>
      <c r="D144" s="50" t="s">
        <v>230</v>
      </c>
      <c r="E144" s="88" t="s">
        <v>247</v>
      </c>
      <c r="F144" s="50" t="s">
        <v>74</v>
      </c>
      <c r="G144" s="50" t="s">
        <v>91</v>
      </c>
      <c r="H144" s="51">
        <v>270</v>
      </c>
      <c r="I144" s="76"/>
      <c r="J144" s="76"/>
      <c r="K144" s="76"/>
      <c r="L144" s="76"/>
      <c r="M144" s="36"/>
    </row>
    <row r="145" spans="1:13" s="21" customFormat="1" ht="24.75" hidden="1" customHeight="1" x14ac:dyDescent="0.4">
      <c r="A145" s="50" t="s">
        <v>260</v>
      </c>
      <c r="B145" s="58" t="s">
        <v>93</v>
      </c>
      <c r="C145" s="82" t="s">
        <v>119</v>
      </c>
      <c r="D145" s="50" t="s">
        <v>230</v>
      </c>
      <c r="E145" s="88" t="s">
        <v>247</v>
      </c>
      <c r="F145" s="50" t="s">
        <v>74</v>
      </c>
      <c r="G145" s="50" t="s">
        <v>94</v>
      </c>
      <c r="H145" s="51">
        <v>20</v>
      </c>
      <c r="I145" s="76"/>
      <c r="J145" s="76"/>
      <c r="K145" s="76"/>
      <c r="L145" s="76"/>
      <c r="M145" s="36"/>
    </row>
    <row r="146" spans="1:13" s="21" customFormat="1" ht="38.25" customHeight="1" x14ac:dyDescent="0.4">
      <c r="A146" s="33" t="s">
        <v>245</v>
      </c>
      <c r="B146" s="78" t="s">
        <v>261</v>
      </c>
      <c r="C146" s="64" t="s">
        <v>119</v>
      </c>
      <c r="D146" s="33" t="s">
        <v>230</v>
      </c>
      <c r="E146" s="87" t="s">
        <v>262</v>
      </c>
      <c r="F146" s="33"/>
      <c r="G146" s="33"/>
      <c r="H146" s="34">
        <f>H147</f>
        <v>208.4</v>
      </c>
      <c r="I146" s="89" t="e">
        <f>I147</f>
        <v>#REF!</v>
      </c>
      <c r="J146" s="89" t="e">
        <f>J147</f>
        <v>#REF!</v>
      </c>
      <c r="K146" s="89" t="e">
        <f>K147</f>
        <v>#REF!</v>
      </c>
      <c r="L146" s="89" t="e">
        <f>L147</f>
        <v>#REF!</v>
      </c>
      <c r="M146" s="36"/>
    </row>
    <row r="147" spans="1:13" s="21" customFormat="1" ht="34.5" customHeight="1" x14ac:dyDescent="0.4">
      <c r="A147" s="33" t="s">
        <v>263</v>
      </c>
      <c r="B147" s="46" t="s">
        <v>70</v>
      </c>
      <c r="C147" s="64" t="s">
        <v>119</v>
      </c>
      <c r="D147" s="33" t="s">
        <v>230</v>
      </c>
      <c r="E147" s="87" t="s">
        <v>262</v>
      </c>
      <c r="F147" s="33" t="s">
        <v>71</v>
      </c>
      <c r="G147" s="33"/>
      <c r="H147" s="34">
        <f>H148</f>
        <v>208.4</v>
      </c>
      <c r="I147" s="71" t="e">
        <f>I149+I151</f>
        <v>#REF!</v>
      </c>
      <c r="J147" s="71" t="e">
        <f>J149+J151</f>
        <v>#REF!</v>
      </c>
      <c r="K147" s="71" t="e">
        <f>K149+K151</f>
        <v>#REF!</v>
      </c>
      <c r="L147" s="71" t="e">
        <f>L149+L151</f>
        <v>#REF!</v>
      </c>
      <c r="M147" s="36"/>
    </row>
    <row r="148" spans="1:13" s="21" customFormat="1" ht="34.5" customHeight="1" x14ac:dyDescent="0.4">
      <c r="A148" s="33" t="s">
        <v>264</v>
      </c>
      <c r="B148" s="46" t="s">
        <v>73</v>
      </c>
      <c r="C148" s="64" t="s">
        <v>119</v>
      </c>
      <c r="D148" s="33" t="s">
        <v>230</v>
      </c>
      <c r="E148" s="87" t="s">
        <v>262</v>
      </c>
      <c r="F148" s="33" t="s">
        <v>74</v>
      </c>
      <c r="G148" s="33"/>
      <c r="H148" s="34">
        <v>208.4</v>
      </c>
      <c r="I148" s="71"/>
      <c r="J148" s="71"/>
      <c r="K148" s="71"/>
      <c r="L148" s="71"/>
      <c r="M148" s="36"/>
    </row>
    <row r="149" spans="1:13" s="21" customFormat="1" ht="17.25" hidden="1" customHeight="1" x14ac:dyDescent="0.4">
      <c r="A149" s="33" t="s">
        <v>265</v>
      </c>
      <c r="B149" s="46" t="s">
        <v>56</v>
      </c>
      <c r="C149" s="64" t="s">
        <v>119</v>
      </c>
      <c r="D149" s="33" t="s">
        <v>230</v>
      </c>
      <c r="E149" s="87" t="s">
        <v>262</v>
      </c>
      <c r="F149" s="33" t="s">
        <v>74</v>
      </c>
      <c r="G149" s="33" t="s">
        <v>57</v>
      </c>
      <c r="H149" s="34">
        <f>H150</f>
        <v>400</v>
      </c>
      <c r="I149" s="71" t="e">
        <f>#REF!+I150</f>
        <v>#REF!</v>
      </c>
      <c r="J149" s="71" t="e">
        <f>#REF!+J150</f>
        <v>#REF!</v>
      </c>
      <c r="K149" s="71" t="e">
        <f>#REF!+K150</f>
        <v>#REF!</v>
      </c>
      <c r="L149" s="71" t="e">
        <f>#REF!+L150</f>
        <v>#REF!</v>
      </c>
      <c r="M149" s="36"/>
    </row>
    <row r="150" spans="1:13" s="21" customFormat="1" ht="17.25" hidden="1" customHeight="1" x14ac:dyDescent="0.4">
      <c r="A150" s="50" t="s">
        <v>266</v>
      </c>
      <c r="B150" s="58" t="s">
        <v>83</v>
      </c>
      <c r="C150" s="82" t="s">
        <v>119</v>
      </c>
      <c r="D150" s="50" t="s">
        <v>230</v>
      </c>
      <c r="E150" s="88" t="s">
        <v>262</v>
      </c>
      <c r="F150" s="50" t="s">
        <v>74</v>
      </c>
      <c r="G150" s="50" t="s">
        <v>84</v>
      </c>
      <c r="H150" s="51">
        <v>400</v>
      </c>
      <c r="I150" s="52">
        <f>71+122.1</f>
        <v>193.1</v>
      </c>
      <c r="J150" s="52">
        <f>200</f>
        <v>200</v>
      </c>
      <c r="K150" s="52">
        <v>0</v>
      </c>
      <c r="L150" s="52">
        <v>0</v>
      </c>
      <c r="M150" s="36"/>
    </row>
    <row r="151" spans="1:13" s="21" customFormat="1" ht="21.75" hidden="1" customHeight="1" x14ac:dyDescent="0.4">
      <c r="A151" s="33" t="s">
        <v>267</v>
      </c>
      <c r="B151" s="46" t="s">
        <v>87</v>
      </c>
      <c r="C151" s="64" t="s">
        <v>119</v>
      </c>
      <c r="D151" s="33" t="s">
        <v>230</v>
      </c>
      <c r="E151" s="87" t="s">
        <v>262</v>
      </c>
      <c r="F151" s="33" t="s">
        <v>74</v>
      </c>
      <c r="G151" s="33" t="s">
        <v>94</v>
      </c>
      <c r="H151" s="34">
        <f>H152</f>
        <v>20</v>
      </c>
      <c r="I151" s="71">
        <f>I152</f>
        <v>0</v>
      </c>
      <c r="J151" s="71">
        <f>J152</f>
        <v>20</v>
      </c>
      <c r="K151" s="71">
        <f>K152</f>
        <v>0</v>
      </c>
      <c r="L151" s="71">
        <f>L152</f>
        <v>0</v>
      </c>
      <c r="M151" s="36"/>
    </row>
    <row r="152" spans="1:13" s="21" customFormat="1" ht="21.75" hidden="1" customHeight="1" x14ac:dyDescent="0.4">
      <c r="A152" s="50" t="s">
        <v>268</v>
      </c>
      <c r="B152" s="58" t="s">
        <v>269</v>
      </c>
      <c r="C152" s="82" t="s">
        <v>119</v>
      </c>
      <c r="D152" s="50" t="s">
        <v>230</v>
      </c>
      <c r="E152" s="88" t="s">
        <v>262</v>
      </c>
      <c r="F152" s="50" t="s">
        <v>74</v>
      </c>
      <c r="G152" s="50" t="s">
        <v>94</v>
      </c>
      <c r="H152" s="51">
        <v>20</v>
      </c>
      <c r="I152" s="76">
        <v>0</v>
      </c>
      <c r="J152" s="76">
        <v>20</v>
      </c>
      <c r="K152" s="76">
        <v>0</v>
      </c>
      <c r="L152" s="76">
        <v>0</v>
      </c>
      <c r="M152" s="36"/>
    </row>
    <row r="153" spans="1:13" s="21" customFormat="1" ht="34.5" customHeight="1" x14ac:dyDescent="0.4">
      <c r="A153" s="33" t="s">
        <v>270</v>
      </c>
      <c r="B153" s="78" t="s">
        <v>271</v>
      </c>
      <c r="C153" s="64" t="s">
        <v>119</v>
      </c>
      <c r="D153" s="33" t="s">
        <v>230</v>
      </c>
      <c r="E153" s="87" t="s">
        <v>272</v>
      </c>
      <c r="F153" s="33"/>
      <c r="G153" s="33"/>
      <c r="H153" s="34">
        <f>H154+H161+H168</f>
        <v>361.4</v>
      </c>
      <c r="I153" s="89">
        <f>I156</f>
        <v>0</v>
      </c>
      <c r="J153" s="89">
        <f>J156</f>
        <v>329.90000000000003</v>
      </c>
      <c r="K153" s="89">
        <f>K156</f>
        <v>100</v>
      </c>
      <c r="L153" s="89">
        <f>L156</f>
        <v>0</v>
      </c>
      <c r="M153" s="36"/>
    </row>
    <row r="154" spans="1:13" s="21" customFormat="1" ht="34.5" customHeight="1" x14ac:dyDescent="0.4">
      <c r="A154" s="33" t="s">
        <v>273</v>
      </c>
      <c r="B154" s="78" t="s">
        <v>274</v>
      </c>
      <c r="C154" s="64" t="s">
        <v>119</v>
      </c>
      <c r="D154" s="33" t="s">
        <v>230</v>
      </c>
      <c r="E154" s="87" t="s">
        <v>275</v>
      </c>
      <c r="F154" s="33" t="s">
        <v>71</v>
      </c>
      <c r="G154" s="33"/>
      <c r="H154" s="34">
        <f>H155</f>
        <v>285</v>
      </c>
      <c r="I154" s="89"/>
      <c r="J154" s="89"/>
      <c r="K154" s="89"/>
      <c r="L154" s="89"/>
      <c r="M154" s="36"/>
    </row>
    <row r="155" spans="1:13" s="21" customFormat="1" ht="34.5" customHeight="1" x14ac:dyDescent="0.4">
      <c r="A155" s="33" t="s">
        <v>276</v>
      </c>
      <c r="B155" s="78" t="s">
        <v>70</v>
      </c>
      <c r="C155" s="64" t="s">
        <v>119</v>
      </c>
      <c r="D155" s="33" t="s">
        <v>230</v>
      </c>
      <c r="E155" s="87" t="s">
        <v>275</v>
      </c>
      <c r="F155" s="33" t="s">
        <v>74</v>
      </c>
      <c r="G155" s="33"/>
      <c r="H155" s="34">
        <v>285</v>
      </c>
      <c r="I155" s="89"/>
      <c r="J155" s="89"/>
      <c r="K155" s="89"/>
      <c r="L155" s="89"/>
      <c r="M155" s="36"/>
    </row>
    <row r="156" spans="1:13" s="21" customFormat="1" ht="36.75" hidden="1" customHeight="1" x14ac:dyDescent="0.4">
      <c r="A156" s="50" t="s">
        <v>277</v>
      </c>
      <c r="B156" s="58" t="s">
        <v>73</v>
      </c>
      <c r="C156" s="91" t="s">
        <v>119</v>
      </c>
      <c r="D156" s="74" t="s">
        <v>230</v>
      </c>
      <c r="E156" s="88" t="s">
        <v>275</v>
      </c>
      <c r="F156" s="50" t="s">
        <v>74</v>
      </c>
      <c r="G156" s="50"/>
      <c r="H156" s="51">
        <f>H157+H159</f>
        <v>415</v>
      </c>
      <c r="I156" s="71">
        <f>I157+I159</f>
        <v>0</v>
      </c>
      <c r="J156" s="71">
        <f>J157+J159</f>
        <v>329.90000000000003</v>
      </c>
      <c r="K156" s="71">
        <f>K157+K159</f>
        <v>100</v>
      </c>
      <c r="L156" s="71">
        <f>L157+L159</f>
        <v>0</v>
      </c>
      <c r="M156" s="36"/>
    </row>
    <row r="157" spans="1:13" s="21" customFormat="1" ht="25" hidden="1" customHeight="1" x14ac:dyDescent="0.4">
      <c r="A157" s="33" t="s">
        <v>278</v>
      </c>
      <c r="B157" s="46" t="s">
        <v>56</v>
      </c>
      <c r="C157" s="64" t="s">
        <v>119</v>
      </c>
      <c r="D157" s="33" t="s">
        <v>230</v>
      </c>
      <c r="E157" s="87" t="s">
        <v>275</v>
      </c>
      <c r="F157" s="33" t="s">
        <v>74</v>
      </c>
      <c r="G157" s="33" t="s">
        <v>57</v>
      </c>
      <c r="H157" s="34">
        <f>H158</f>
        <v>215</v>
      </c>
      <c r="I157" s="71">
        <f>I158</f>
        <v>0</v>
      </c>
      <c r="J157" s="71">
        <f>J158</f>
        <v>26.5</v>
      </c>
      <c r="K157" s="71">
        <f>K158</f>
        <v>100</v>
      </c>
      <c r="L157" s="71">
        <f>L158</f>
        <v>0</v>
      </c>
      <c r="M157" s="36"/>
    </row>
    <row r="158" spans="1:13" s="21" customFormat="1" ht="21.75" hidden="1" customHeight="1" x14ac:dyDescent="0.4">
      <c r="A158" s="50" t="s">
        <v>279</v>
      </c>
      <c r="B158" s="58" t="s">
        <v>59</v>
      </c>
      <c r="C158" s="82" t="s">
        <v>119</v>
      </c>
      <c r="D158" s="50" t="s">
        <v>230</v>
      </c>
      <c r="E158" s="88" t="s">
        <v>275</v>
      </c>
      <c r="F158" s="50" t="s">
        <v>74</v>
      </c>
      <c r="G158" s="50" t="s">
        <v>60</v>
      </c>
      <c r="H158" s="51">
        <v>215</v>
      </c>
      <c r="I158" s="76">
        <v>0</v>
      </c>
      <c r="J158" s="76">
        <v>26.5</v>
      </c>
      <c r="K158" s="76">
        <v>100</v>
      </c>
      <c r="L158" s="76">
        <v>0</v>
      </c>
      <c r="M158" s="36"/>
    </row>
    <row r="159" spans="1:13" s="21" customFormat="1" ht="21.75" hidden="1" customHeight="1" x14ac:dyDescent="0.4">
      <c r="A159" s="33" t="s">
        <v>280</v>
      </c>
      <c r="B159" s="40" t="s">
        <v>87</v>
      </c>
      <c r="C159" s="64" t="s">
        <v>119</v>
      </c>
      <c r="D159" s="33" t="s">
        <v>230</v>
      </c>
      <c r="E159" s="87" t="s">
        <v>275</v>
      </c>
      <c r="F159" s="33" t="s">
        <v>74</v>
      </c>
      <c r="G159" s="33" t="s">
        <v>88</v>
      </c>
      <c r="H159" s="34">
        <f>H160</f>
        <v>200</v>
      </c>
      <c r="I159" s="71">
        <f>I160</f>
        <v>0</v>
      </c>
      <c r="J159" s="71">
        <f>J160</f>
        <v>303.40000000000003</v>
      </c>
      <c r="K159" s="71">
        <f>K160</f>
        <v>0</v>
      </c>
      <c r="L159" s="71">
        <f>L160</f>
        <v>0</v>
      </c>
      <c r="M159" s="36"/>
    </row>
    <row r="160" spans="1:13" s="21" customFormat="1" ht="21.75" hidden="1" customHeight="1" x14ac:dyDescent="0.4">
      <c r="A160" s="50" t="s">
        <v>281</v>
      </c>
      <c r="B160" s="58" t="s">
        <v>269</v>
      </c>
      <c r="C160" s="82" t="s">
        <v>119</v>
      </c>
      <c r="D160" s="50" t="s">
        <v>230</v>
      </c>
      <c r="E160" s="88" t="s">
        <v>275</v>
      </c>
      <c r="F160" s="50" t="s">
        <v>74</v>
      </c>
      <c r="G160" s="50" t="s">
        <v>94</v>
      </c>
      <c r="H160" s="51">
        <v>200</v>
      </c>
      <c r="I160" s="76">
        <v>0</v>
      </c>
      <c r="J160" s="76">
        <f>379.3-49.4-26.5</f>
        <v>303.40000000000003</v>
      </c>
      <c r="K160" s="76">
        <v>0</v>
      </c>
      <c r="L160" s="76">
        <v>0</v>
      </c>
      <c r="M160" s="36"/>
    </row>
    <row r="161" spans="1:13" s="21" customFormat="1" ht="36" customHeight="1" x14ac:dyDescent="0.4">
      <c r="A161" s="33" t="s">
        <v>282</v>
      </c>
      <c r="B161" s="78" t="s">
        <v>283</v>
      </c>
      <c r="C161" s="64" t="s">
        <v>119</v>
      </c>
      <c r="D161" s="33" t="s">
        <v>230</v>
      </c>
      <c r="E161" s="87" t="s">
        <v>284</v>
      </c>
      <c r="F161" s="33"/>
      <c r="G161" s="33"/>
      <c r="H161" s="34">
        <f>H162</f>
        <v>45.4</v>
      </c>
      <c r="I161" s="76"/>
      <c r="J161" s="76"/>
      <c r="K161" s="76"/>
      <c r="L161" s="76"/>
      <c r="M161" s="36"/>
    </row>
    <row r="162" spans="1:13" s="21" customFormat="1" ht="41" customHeight="1" x14ac:dyDescent="0.4">
      <c r="A162" s="33" t="s">
        <v>282</v>
      </c>
      <c r="B162" s="78" t="s">
        <v>70</v>
      </c>
      <c r="C162" s="64" t="s">
        <v>119</v>
      </c>
      <c r="D162" s="33" t="s">
        <v>230</v>
      </c>
      <c r="E162" s="87" t="s">
        <v>284</v>
      </c>
      <c r="F162" s="33" t="s">
        <v>71</v>
      </c>
      <c r="G162" s="33"/>
      <c r="H162" s="34">
        <f>H163</f>
        <v>45.4</v>
      </c>
      <c r="I162" s="76"/>
      <c r="J162" s="76"/>
      <c r="K162" s="76"/>
      <c r="L162" s="76"/>
      <c r="M162" s="36"/>
    </row>
    <row r="163" spans="1:13" s="21" customFormat="1" ht="46" customHeight="1" x14ac:dyDescent="0.4">
      <c r="A163" s="33" t="s">
        <v>285</v>
      </c>
      <c r="B163" s="78" t="s">
        <v>73</v>
      </c>
      <c r="C163" s="64" t="s">
        <v>119</v>
      </c>
      <c r="D163" s="33" t="s">
        <v>230</v>
      </c>
      <c r="E163" s="87" t="s">
        <v>284</v>
      </c>
      <c r="F163" s="33" t="s">
        <v>74</v>
      </c>
      <c r="G163" s="33"/>
      <c r="H163" s="34">
        <v>45.4</v>
      </c>
      <c r="I163" s="76"/>
      <c r="J163" s="76"/>
      <c r="K163" s="76"/>
      <c r="L163" s="76"/>
      <c r="M163" s="36"/>
    </row>
    <row r="164" spans="1:13" s="21" customFormat="1" ht="21.75" hidden="1" customHeight="1" x14ac:dyDescent="0.4">
      <c r="A164" s="33" t="s">
        <v>286</v>
      </c>
      <c r="B164" s="78" t="s">
        <v>56</v>
      </c>
      <c r="C164" s="64" t="s">
        <v>119</v>
      </c>
      <c r="D164" s="33" t="s">
        <v>230</v>
      </c>
      <c r="E164" s="87" t="s">
        <v>284</v>
      </c>
      <c r="F164" s="33" t="s">
        <v>74</v>
      </c>
      <c r="G164" s="33" t="s">
        <v>57</v>
      </c>
      <c r="H164" s="34">
        <f>H165</f>
        <v>50</v>
      </c>
      <c r="I164" s="76"/>
      <c r="J164" s="76"/>
      <c r="K164" s="76"/>
      <c r="L164" s="76"/>
      <c r="M164" s="36"/>
    </row>
    <row r="165" spans="1:13" s="21" customFormat="1" ht="21.75" hidden="1" customHeight="1" x14ac:dyDescent="0.4">
      <c r="A165" s="50" t="s">
        <v>287</v>
      </c>
      <c r="B165" s="92" t="s">
        <v>59</v>
      </c>
      <c r="C165" s="82" t="s">
        <v>119</v>
      </c>
      <c r="D165" s="50" t="s">
        <v>230</v>
      </c>
      <c r="E165" s="88" t="s">
        <v>284</v>
      </c>
      <c r="F165" s="50" t="s">
        <v>74</v>
      </c>
      <c r="G165" s="50" t="s">
        <v>60</v>
      </c>
      <c r="H165" s="51">
        <v>50</v>
      </c>
      <c r="I165" s="76"/>
      <c r="J165" s="76"/>
      <c r="K165" s="76"/>
      <c r="L165" s="76"/>
      <c r="M165" s="36"/>
    </row>
    <row r="166" spans="1:13" s="21" customFormat="1" ht="21.75" hidden="1" customHeight="1" x14ac:dyDescent="0.4">
      <c r="A166" s="33" t="s">
        <v>288</v>
      </c>
      <c r="B166" s="78" t="s">
        <v>87</v>
      </c>
      <c r="C166" s="64" t="s">
        <v>119</v>
      </c>
      <c r="D166" s="33" t="s">
        <v>230</v>
      </c>
      <c r="E166" s="87" t="s">
        <v>284</v>
      </c>
      <c r="F166" s="33" t="s">
        <v>74</v>
      </c>
      <c r="G166" s="33" t="s">
        <v>88</v>
      </c>
      <c r="H166" s="34">
        <f>H167</f>
        <v>50</v>
      </c>
      <c r="I166" s="76"/>
      <c r="J166" s="76"/>
      <c r="K166" s="76"/>
      <c r="L166" s="76"/>
      <c r="M166" s="36"/>
    </row>
    <row r="167" spans="1:13" s="21" customFormat="1" ht="21.75" hidden="1" customHeight="1" x14ac:dyDescent="0.4">
      <c r="A167" s="50" t="s">
        <v>289</v>
      </c>
      <c r="B167" s="92" t="s">
        <v>269</v>
      </c>
      <c r="C167" s="82" t="s">
        <v>119</v>
      </c>
      <c r="D167" s="50" t="s">
        <v>230</v>
      </c>
      <c r="E167" s="88" t="s">
        <v>275</v>
      </c>
      <c r="F167" s="50" t="s">
        <v>74</v>
      </c>
      <c r="G167" s="50" t="s">
        <v>94</v>
      </c>
      <c r="H167" s="51">
        <v>50</v>
      </c>
      <c r="I167" s="76"/>
      <c r="J167" s="76"/>
      <c r="K167" s="76"/>
      <c r="L167" s="76"/>
      <c r="M167" s="36"/>
    </row>
    <row r="168" spans="1:13" s="21" customFormat="1" ht="73.5" customHeight="1" x14ac:dyDescent="0.4">
      <c r="A168" s="33" t="s">
        <v>290</v>
      </c>
      <c r="B168" s="78" t="s">
        <v>291</v>
      </c>
      <c r="C168" s="64" t="s">
        <v>119</v>
      </c>
      <c r="D168" s="33" t="s">
        <v>230</v>
      </c>
      <c r="E168" s="87" t="s">
        <v>292</v>
      </c>
      <c r="F168" s="33"/>
      <c r="G168" s="33"/>
      <c r="H168" s="34">
        <f>H169</f>
        <v>31</v>
      </c>
      <c r="I168" s="76"/>
      <c r="J168" s="76"/>
      <c r="K168" s="76"/>
      <c r="L168" s="76"/>
      <c r="M168" s="36"/>
    </row>
    <row r="169" spans="1:13" s="21" customFormat="1" ht="43.5" customHeight="1" x14ac:dyDescent="0.4">
      <c r="A169" s="33" t="s">
        <v>293</v>
      </c>
      <c r="B169" s="78" t="s">
        <v>70</v>
      </c>
      <c r="C169" s="64" t="s">
        <v>119</v>
      </c>
      <c r="D169" s="33" t="s">
        <v>230</v>
      </c>
      <c r="E169" s="87" t="s">
        <v>292</v>
      </c>
      <c r="F169" s="33" t="s">
        <v>71</v>
      </c>
      <c r="G169" s="33"/>
      <c r="H169" s="34">
        <f>H170</f>
        <v>31</v>
      </c>
      <c r="I169" s="76"/>
      <c r="J169" s="76"/>
      <c r="K169" s="76"/>
      <c r="L169" s="76"/>
      <c r="M169" s="36"/>
    </row>
    <row r="170" spans="1:13" s="21" customFormat="1" ht="38.5" customHeight="1" x14ac:dyDescent="0.4">
      <c r="A170" s="33" t="s">
        <v>294</v>
      </c>
      <c r="B170" s="78" t="s">
        <v>73</v>
      </c>
      <c r="C170" s="64" t="s">
        <v>119</v>
      </c>
      <c r="D170" s="33" t="s">
        <v>230</v>
      </c>
      <c r="E170" s="87" t="s">
        <v>292</v>
      </c>
      <c r="F170" s="33" t="s">
        <v>74</v>
      </c>
      <c r="G170" s="33"/>
      <c r="H170" s="34">
        <v>31</v>
      </c>
      <c r="I170" s="76"/>
      <c r="J170" s="76"/>
      <c r="K170" s="76"/>
      <c r="L170" s="76"/>
      <c r="M170" s="36"/>
    </row>
    <row r="171" spans="1:13" s="21" customFormat="1" ht="27" hidden="1" customHeight="1" x14ac:dyDescent="0.4">
      <c r="A171" s="33" t="s">
        <v>294</v>
      </c>
      <c r="B171" s="78" t="s">
        <v>56</v>
      </c>
      <c r="C171" s="64" t="s">
        <v>119</v>
      </c>
      <c r="D171" s="33" t="s">
        <v>230</v>
      </c>
      <c r="E171" s="87" t="s">
        <v>284</v>
      </c>
      <c r="F171" s="33" t="s">
        <v>74</v>
      </c>
      <c r="G171" s="33" t="s">
        <v>57</v>
      </c>
      <c r="H171" s="34">
        <f>H172</f>
        <v>100</v>
      </c>
      <c r="I171" s="76"/>
      <c r="J171" s="76"/>
      <c r="K171" s="76"/>
      <c r="L171" s="76"/>
      <c r="M171" s="36"/>
    </row>
    <row r="172" spans="1:13" s="21" customFormat="1" ht="21.75" hidden="1" customHeight="1" x14ac:dyDescent="0.4">
      <c r="A172" s="50" t="s">
        <v>295</v>
      </c>
      <c r="B172" s="92" t="s">
        <v>59</v>
      </c>
      <c r="C172" s="82" t="s">
        <v>119</v>
      </c>
      <c r="D172" s="50" t="s">
        <v>230</v>
      </c>
      <c r="E172" s="88" t="s">
        <v>284</v>
      </c>
      <c r="F172" s="50" t="s">
        <v>74</v>
      </c>
      <c r="G172" s="50" t="s">
        <v>60</v>
      </c>
      <c r="H172" s="51">
        <v>100</v>
      </c>
      <c r="I172" s="76"/>
      <c r="J172" s="76"/>
      <c r="K172" s="76"/>
      <c r="L172" s="76"/>
      <c r="M172" s="36"/>
    </row>
    <row r="173" spans="1:13" s="21" customFormat="1" ht="36" customHeight="1" x14ac:dyDescent="0.4">
      <c r="A173" s="33" t="s">
        <v>296</v>
      </c>
      <c r="B173" s="78" t="s">
        <v>297</v>
      </c>
      <c r="C173" s="64" t="s">
        <v>119</v>
      </c>
      <c r="D173" s="33" t="s">
        <v>230</v>
      </c>
      <c r="E173" s="87" t="s">
        <v>298</v>
      </c>
      <c r="F173" s="33"/>
      <c r="G173" s="33"/>
      <c r="H173" s="34">
        <f>H174</f>
        <v>726</v>
      </c>
      <c r="I173" s="76"/>
      <c r="J173" s="76"/>
      <c r="K173" s="76"/>
      <c r="L173" s="76"/>
      <c r="M173" s="36"/>
    </row>
    <row r="174" spans="1:13" s="21" customFormat="1" ht="42" customHeight="1" x14ac:dyDescent="0.4">
      <c r="A174" s="33" t="s">
        <v>299</v>
      </c>
      <c r="B174" s="46" t="s">
        <v>70</v>
      </c>
      <c r="C174" s="64" t="s">
        <v>119</v>
      </c>
      <c r="D174" s="33" t="s">
        <v>230</v>
      </c>
      <c r="E174" s="87" t="s">
        <v>298</v>
      </c>
      <c r="F174" s="33" t="s">
        <v>71</v>
      </c>
      <c r="G174" s="33"/>
      <c r="H174" s="34">
        <f>H175</f>
        <v>726</v>
      </c>
      <c r="I174" s="76"/>
      <c r="J174" s="76"/>
      <c r="K174" s="76"/>
      <c r="L174" s="76"/>
      <c r="M174" s="36"/>
    </row>
    <row r="175" spans="1:13" s="21" customFormat="1" ht="42" customHeight="1" x14ac:dyDescent="0.4">
      <c r="A175" s="33" t="s">
        <v>300</v>
      </c>
      <c r="B175" s="46" t="s">
        <v>73</v>
      </c>
      <c r="C175" s="64" t="s">
        <v>119</v>
      </c>
      <c r="D175" s="33" t="s">
        <v>230</v>
      </c>
      <c r="E175" s="87" t="s">
        <v>298</v>
      </c>
      <c r="F175" s="33" t="s">
        <v>74</v>
      </c>
      <c r="G175" s="33"/>
      <c r="H175" s="34">
        <v>726</v>
      </c>
      <c r="I175" s="76"/>
      <c r="J175" s="76"/>
      <c r="K175" s="76"/>
      <c r="L175" s="76"/>
      <c r="M175" s="36"/>
    </row>
    <row r="176" spans="1:13" s="21" customFormat="1" ht="21.75" hidden="1" customHeight="1" x14ac:dyDescent="0.4">
      <c r="A176" s="33" t="s">
        <v>301</v>
      </c>
      <c r="B176" s="46" t="s">
        <v>56</v>
      </c>
      <c r="C176" s="64" t="s">
        <v>119</v>
      </c>
      <c r="D176" s="33" t="s">
        <v>230</v>
      </c>
      <c r="E176" s="87" t="s">
        <v>298</v>
      </c>
      <c r="F176" s="33" t="s">
        <v>74</v>
      </c>
      <c r="G176" s="33" t="s">
        <v>57</v>
      </c>
      <c r="H176" s="34">
        <f>H178+H177</f>
        <v>293</v>
      </c>
      <c r="I176" s="76"/>
      <c r="J176" s="76"/>
      <c r="K176" s="76"/>
      <c r="L176" s="76"/>
      <c r="M176" s="36"/>
    </row>
    <row r="177" spans="1:13" s="21" customFormat="1" ht="21.75" hidden="1" customHeight="1" x14ac:dyDescent="0.4">
      <c r="A177" s="50" t="s">
        <v>302</v>
      </c>
      <c r="B177" s="58" t="s">
        <v>83</v>
      </c>
      <c r="C177" s="82" t="s">
        <v>119</v>
      </c>
      <c r="D177" s="50" t="s">
        <v>230</v>
      </c>
      <c r="E177" s="88" t="s">
        <v>298</v>
      </c>
      <c r="F177" s="50" t="s">
        <v>74</v>
      </c>
      <c r="G177" s="50" t="s">
        <v>84</v>
      </c>
      <c r="H177" s="51">
        <v>30</v>
      </c>
      <c r="I177" s="76"/>
      <c r="J177" s="76"/>
      <c r="K177" s="76"/>
      <c r="L177" s="76"/>
      <c r="M177" s="36"/>
    </row>
    <row r="178" spans="1:13" s="21" customFormat="1" ht="21.75" hidden="1" customHeight="1" x14ac:dyDescent="0.4">
      <c r="A178" s="50" t="s">
        <v>303</v>
      </c>
      <c r="B178" s="58" t="s">
        <v>59</v>
      </c>
      <c r="C178" s="82" t="s">
        <v>119</v>
      </c>
      <c r="D178" s="50" t="s">
        <v>230</v>
      </c>
      <c r="E178" s="88" t="s">
        <v>298</v>
      </c>
      <c r="F178" s="50" t="s">
        <v>74</v>
      </c>
      <c r="G178" s="50" t="s">
        <v>60</v>
      </c>
      <c r="H178" s="51">
        <v>263</v>
      </c>
      <c r="I178" s="76"/>
      <c r="J178" s="76"/>
      <c r="K178" s="76"/>
      <c r="L178" s="76"/>
      <c r="M178" s="36"/>
    </row>
    <row r="179" spans="1:13" s="21" customFormat="1" ht="21.75" hidden="1" customHeight="1" x14ac:dyDescent="0.4">
      <c r="A179" s="33" t="s">
        <v>304</v>
      </c>
      <c r="B179" s="46" t="s">
        <v>87</v>
      </c>
      <c r="C179" s="64" t="s">
        <v>119</v>
      </c>
      <c r="D179" s="33" t="s">
        <v>230</v>
      </c>
      <c r="E179" s="87" t="s">
        <v>298</v>
      </c>
      <c r="F179" s="33" t="s">
        <v>74</v>
      </c>
      <c r="G179" s="33" t="s">
        <v>88</v>
      </c>
      <c r="H179" s="34">
        <f>H180+H181</f>
        <v>800</v>
      </c>
      <c r="I179" s="76"/>
      <c r="J179" s="76"/>
      <c r="K179" s="76"/>
      <c r="L179" s="76"/>
      <c r="M179" s="36"/>
    </row>
    <row r="180" spans="1:13" s="21" customFormat="1" ht="21.75" hidden="1" customHeight="1" x14ac:dyDescent="0.4">
      <c r="A180" s="50" t="s">
        <v>305</v>
      </c>
      <c r="B180" s="58" t="s">
        <v>209</v>
      </c>
      <c r="C180" s="82" t="s">
        <v>119</v>
      </c>
      <c r="D180" s="50" t="s">
        <v>230</v>
      </c>
      <c r="E180" s="88" t="s">
        <v>298</v>
      </c>
      <c r="F180" s="50" t="s">
        <v>74</v>
      </c>
      <c r="G180" s="50" t="s">
        <v>91</v>
      </c>
      <c r="H180" s="51">
        <v>780</v>
      </c>
      <c r="I180" s="76"/>
      <c r="J180" s="76"/>
      <c r="K180" s="76"/>
      <c r="L180" s="76"/>
      <c r="M180" s="36"/>
    </row>
    <row r="181" spans="1:13" s="21" customFormat="1" ht="21.75" hidden="1" customHeight="1" x14ac:dyDescent="0.4">
      <c r="A181" s="50" t="s">
        <v>306</v>
      </c>
      <c r="B181" s="92" t="s">
        <v>93</v>
      </c>
      <c r="C181" s="82" t="s">
        <v>119</v>
      </c>
      <c r="D181" s="50" t="s">
        <v>230</v>
      </c>
      <c r="E181" s="88" t="s">
        <v>298</v>
      </c>
      <c r="F181" s="50" t="s">
        <v>74</v>
      </c>
      <c r="G181" s="50" t="s">
        <v>94</v>
      </c>
      <c r="H181" s="51">
        <v>20</v>
      </c>
      <c r="I181" s="76"/>
      <c r="J181" s="76"/>
      <c r="K181" s="76"/>
      <c r="L181" s="76"/>
      <c r="M181" s="36"/>
    </row>
    <row r="182" spans="1:13" s="21" customFormat="1" ht="59.5" customHeight="1" x14ac:dyDescent="0.4">
      <c r="A182" s="33" t="s">
        <v>307</v>
      </c>
      <c r="B182" s="79" t="s">
        <v>308</v>
      </c>
      <c r="C182" s="64" t="s">
        <v>119</v>
      </c>
      <c r="D182" s="33" t="s">
        <v>230</v>
      </c>
      <c r="E182" s="87" t="s">
        <v>309</v>
      </c>
      <c r="F182" s="33"/>
      <c r="G182" s="33"/>
      <c r="H182" s="34">
        <f>H183</f>
        <v>10126.6</v>
      </c>
      <c r="I182" s="89">
        <f>I184</f>
        <v>0</v>
      </c>
      <c r="J182" s="89">
        <f>J184</f>
        <v>2301.6999999999998</v>
      </c>
      <c r="K182" s="89">
        <f>K184</f>
        <v>1600</v>
      </c>
      <c r="L182" s="89">
        <f>L184</f>
        <v>0</v>
      </c>
      <c r="M182" s="36"/>
    </row>
    <row r="183" spans="1:13" s="21" customFormat="1" ht="45" customHeight="1" x14ac:dyDescent="0.4">
      <c r="A183" s="33" t="s">
        <v>310</v>
      </c>
      <c r="B183" s="79" t="s">
        <v>70</v>
      </c>
      <c r="C183" s="64" t="s">
        <v>119</v>
      </c>
      <c r="D183" s="33" t="s">
        <v>230</v>
      </c>
      <c r="E183" s="87" t="s">
        <v>309</v>
      </c>
      <c r="F183" s="33" t="s">
        <v>71</v>
      </c>
      <c r="G183" s="33"/>
      <c r="H183" s="34">
        <f>H184</f>
        <v>10126.6</v>
      </c>
      <c r="I183" s="89"/>
      <c r="J183" s="89"/>
      <c r="K183" s="89"/>
      <c r="L183" s="89"/>
      <c r="M183" s="36"/>
    </row>
    <row r="184" spans="1:13" s="21" customFormat="1" ht="40.5" customHeight="1" x14ac:dyDescent="0.4">
      <c r="A184" s="33" t="s">
        <v>311</v>
      </c>
      <c r="B184" s="46" t="s">
        <v>73</v>
      </c>
      <c r="C184" s="64" t="s">
        <v>119</v>
      </c>
      <c r="D184" s="33" t="s">
        <v>230</v>
      </c>
      <c r="E184" s="87" t="s">
        <v>309</v>
      </c>
      <c r="F184" s="33" t="s">
        <v>74</v>
      </c>
      <c r="G184" s="33"/>
      <c r="H184" s="34">
        <v>10126.6</v>
      </c>
      <c r="I184" s="47">
        <f t="shared" ref="I184:L185" si="4">I185</f>
        <v>0</v>
      </c>
      <c r="J184" s="47">
        <f t="shared" si="4"/>
        <v>2301.6999999999998</v>
      </c>
      <c r="K184" s="47">
        <f t="shared" si="4"/>
        <v>1600</v>
      </c>
      <c r="L184" s="47">
        <f t="shared" si="4"/>
        <v>0</v>
      </c>
      <c r="M184" s="36"/>
    </row>
    <row r="185" spans="1:13" s="21" customFormat="1" ht="18" hidden="1" customHeight="1" x14ac:dyDescent="0.4">
      <c r="A185" s="33" t="s">
        <v>312</v>
      </c>
      <c r="B185" s="46" t="s">
        <v>56</v>
      </c>
      <c r="C185" s="64" t="s">
        <v>119</v>
      </c>
      <c r="D185" s="33" t="s">
        <v>230</v>
      </c>
      <c r="E185" s="87" t="s">
        <v>309</v>
      </c>
      <c r="F185" s="33" t="s">
        <v>74</v>
      </c>
      <c r="G185" s="33" t="s">
        <v>57</v>
      </c>
      <c r="H185" s="34">
        <f>H186</f>
        <v>9915</v>
      </c>
      <c r="I185" s="71">
        <f t="shared" si="4"/>
        <v>0</v>
      </c>
      <c r="J185" s="71">
        <f t="shared" si="4"/>
        <v>2301.6999999999998</v>
      </c>
      <c r="K185" s="71">
        <f t="shared" si="4"/>
        <v>1600</v>
      </c>
      <c r="L185" s="71">
        <f t="shared" si="4"/>
        <v>0</v>
      </c>
      <c r="M185" s="36"/>
    </row>
    <row r="186" spans="1:13" s="21" customFormat="1" ht="22.5" hidden="1" customHeight="1" x14ac:dyDescent="0.4">
      <c r="A186" s="50" t="s">
        <v>313</v>
      </c>
      <c r="B186" s="58" t="s">
        <v>59</v>
      </c>
      <c r="C186" s="82" t="s">
        <v>119</v>
      </c>
      <c r="D186" s="50" t="s">
        <v>230</v>
      </c>
      <c r="E186" s="88" t="s">
        <v>309</v>
      </c>
      <c r="F186" s="50" t="s">
        <v>74</v>
      </c>
      <c r="G186" s="50" t="s">
        <v>60</v>
      </c>
      <c r="H186" s="51">
        <v>9915</v>
      </c>
      <c r="I186" s="76">
        <v>0</v>
      </c>
      <c r="J186" s="76">
        <f>1300+1001.7</f>
        <v>2301.6999999999998</v>
      </c>
      <c r="K186" s="76">
        <f>1300+300</f>
        <v>1600</v>
      </c>
      <c r="L186" s="76">
        <v>0</v>
      </c>
      <c r="M186" s="36"/>
    </row>
    <row r="187" spans="1:13" s="21" customFormat="1" ht="33" customHeight="1" x14ac:dyDescent="0.4">
      <c r="A187" s="33" t="s">
        <v>314</v>
      </c>
      <c r="B187" s="79" t="s">
        <v>315</v>
      </c>
      <c r="C187" s="82" t="s">
        <v>119</v>
      </c>
      <c r="D187" s="50" t="s">
        <v>230</v>
      </c>
      <c r="E187" s="87" t="s">
        <v>316</v>
      </c>
      <c r="F187" s="33"/>
      <c r="G187" s="33"/>
      <c r="H187" s="34">
        <f>H188</f>
        <v>43.2</v>
      </c>
      <c r="I187" s="89">
        <f>I190</f>
        <v>0</v>
      </c>
      <c r="J187" s="89">
        <f>J190</f>
        <v>55</v>
      </c>
      <c r="K187" s="89">
        <f>K190</f>
        <v>25</v>
      </c>
      <c r="L187" s="89">
        <f>L190</f>
        <v>0</v>
      </c>
      <c r="M187" s="36"/>
    </row>
    <row r="188" spans="1:13" s="21" customFormat="1" ht="45.75" customHeight="1" x14ac:dyDescent="0.4">
      <c r="A188" s="33" t="s">
        <v>317</v>
      </c>
      <c r="B188" s="46" t="s">
        <v>70</v>
      </c>
      <c r="C188" s="64" t="s">
        <v>119</v>
      </c>
      <c r="D188" s="33" t="s">
        <v>230</v>
      </c>
      <c r="E188" s="87" t="s">
        <v>316</v>
      </c>
      <c r="F188" s="33" t="s">
        <v>71</v>
      </c>
      <c r="G188" s="33"/>
      <c r="H188" s="34">
        <f>H189</f>
        <v>43.2</v>
      </c>
      <c r="I188" s="71">
        <f>I190</f>
        <v>0</v>
      </c>
      <c r="J188" s="71">
        <f>J190</f>
        <v>55</v>
      </c>
      <c r="K188" s="71">
        <f>K190</f>
        <v>25</v>
      </c>
      <c r="L188" s="71">
        <f>L190</f>
        <v>0</v>
      </c>
      <c r="M188" s="36"/>
    </row>
    <row r="189" spans="1:13" s="21" customFormat="1" ht="45.75" customHeight="1" x14ac:dyDescent="0.4">
      <c r="A189" s="33" t="s">
        <v>318</v>
      </c>
      <c r="B189" s="46" t="s">
        <v>73</v>
      </c>
      <c r="C189" s="64" t="s">
        <v>119</v>
      </c>
      <c r="D189" s="33" t="s">
        <v>230</v>
      </c>
      <c r="E189" s="87" t="s">
        <v>316</v>
      </c>
      <c r="F189" s="33" t="s">
        <v>74</v>
      </c>
      <c r="G189" s="33"/>
      <c r="H189" s="34">
        <v>43.2</v>
      </c>
      <c r="I189" s="71"/>
      <c r="J189" s="71"/>
      <c r="K189" s="71"/>
      <c r="L189" s="71"/>
      <c r="M189" s="36"/>
    </row>
    <row r="190" spans="1:13" s="21" customFormat="1" ht="18.75" hidden="1" customHeight="1" x14ac:dyDescent="0.4">
      <c r="A190" s="33" t="s">
        <v>318</v>
      </c>
      <c r="B190" s="46" t="s">
        <v>56</v>
      </c>
      <c r="C190" s="64" t="s">
        <v>119</v>
      </c>
      <c r="D190" s="33" t="s">
        <v>230</v>
      </c>
      <c r="E190" s="87" t="s">
        <v>316</v>
      </c>
      <c r="F190" s="33" t="s">
        <v>74</v>
      </c>
      <c r="G190" s="33" t="s">
        <v>57</v>
      </c>
      <c r="H190" s="34">
        <f>H191</f>
        <v>330.2</v>
      </c>
      <c r="I190" s="52">
        <f>I191</f>
        <v>0</v>
      </c>
      <c r="J190" s="52">
        <f>J191</f>
        <v>55</v>
      </c>
      <c r="K190" s="52">
        <f>K191</f>
        <v>25</v>
      </c>
      <c r="L190" s="52">
        <f>L191</f>
        <v>0</v>
      </c>
      <c r="M190" s="36"/>
    </row>
    <row r="191" spans="1:13" s="21" customFormat="1" ht="20.25" hidden="1" customHeight="1" x14ac:dyDescent="0.4">
      <c r="A191" s="50" t="s">
        <v>319</v>
      </c>
      <c r="B191" s="58" t="s">
        <v>59</v>
      </c>
      <c r="C191" s="82" t="s">
        <v>119</v>
      </c>
      <c r="D191" s="50" t="s">
        <v>230</v>
      </c>
      <c r="E191" s="88" t="s">
        <v>316</v>
      </c>
      <c r="F191" s="50" t="s">
        <v>74</v>
      </c>
      <c r="G191" s="50" t="s">
        <v>60</v>
      </c>
      <c r="H191" s="51">
        <v>330.2</v>
      </c>
      <c r="I191" s="76">
        <v>0</v>
      </c>
      <c r="J191" s="76">
        <f>25+30</f>
        <v>55</v>
      </c>
      <c r="K191" s="76">
        <v>25</v>
      </c>
      <c r="L191" s="76">
        <v>0</v>
      </c>
      <c r="M191" s="36"/>
    </row>
    <row r="192" spans="1:13" s="21" customFormat="1" ht="37" customHeight="1" x14ac:dyDescent="0.4">
      <c r="A192" s="33" t="s">
        <v>320</v>
      </c>
      <c r="B192" s="78" t="s">
        <v>321</v>
      </c>
      <c r="C192" s="64" t="s">
        <v>119</v>
      </c>
      <c r="D192" s="33" t="s">
        <v>230</v>
      </c>
      <c r="E192" s="87" t="s">
        <v>322</v>
      </c>
      <c r="F192" s="33"/>
      <c r="G192" s="33"/>
      <c r="H192" s="34">
        <f>H193</f>
        <v>440.2</v>
      </c>
      <c r="I192" s="89">
        <f>I195</f>
        <v>50</v>
      </c>
      <c r="J192" s="89">
        <f>J195</f>
        <v>50</v>
      </c>
      <c r="K192" s="89">
        <f>K195</f>
        <v>100</v>
      </c>
      <c r="L192" s="89">
        <f>L195</f>
        <v>0</v>
      </c>
      <c r="M192" s="36"/>
    </row>
    <row r="193" spans="1:13" s="21" customFormat="1" ht="42" customHeight="1" x14ac:dyDescent="0.4">
      <c r="A193" s="33" t="s">
        <v>323</v>
      </c>
      <c r="B193" s="46" t="s">
        <v>70</v>
      </c>
      <c r="C193" s="64" t="s">
        <v>119</v>
      </c>
      <c r="D193" s="33" t="s">
        <v>230</v>
      </c>
      <c r="E193" s="87" t="s">
        <v>322</v>
      </c>
      <c r="F193" s="33" t="s">
        <v>71</v>
      </c>
      <c r="G193" s="33"/>
      <c r="H193" s="34">
        <f>H194</f>
        <v>440.2</v>
      </c>
      <c r="I193" s="71">
        <f>I195</f>
        <v>50</v>
      </c>
      <c r="J193" s="71">
        <f>J195</f>
        <v>50</v>
      </c>
      <c r="K193" s="71">
        <f>K195</f>
        <v>100</v>
      </c>
      <c r="L193" s="71">
        <f>L195</f>
        <v>0</v>
      </c>
      <c r="M193" s="36"/>
    </row>
    <row r="194" spans="1:13" s="21" customFormat="1" ht="42" customHeight="1" x14ac:dyDescent="0.4">
      <c r="A194" s="33" t="s">
        <v>324</v>
      </c>
      <c r="B194" s="46" t="s">
        <v>73</v>
      </c>
      <c r="C194" s="64" t="s">
        <v>119</v>
      </c>
      <c r="D194" s="33" t="s">
        <v>230</v>
      </c>
      <c r="E194" s="87" t="s">
        <v>322</v>
      </c>
      <c r="F194" s="33" t="s">
        <v>74</v>
      </c>
      <c r="G194" s="33"/>
      <c r="H194" s="34">
        <v>440.2</v>
      </c>
      <c r="I194" s="71"/>
      <c r="J194" s="71"/>
      <c r="K194" s="71"/>
      <c r="L194" s="71"/>
      <c r="M194" s="36"/>
    </row>
    <row r="195" spans="1:13" s="21" customFormat="1" ht="24" hidden="1" customHeight="1" x14ac:dyDescent="0.4">
      <c r="A195" s="33" t="s">
        <v>324</v>
      </c>
      <c r="B195" s="46" t="s">
        <v>56</v>
      </c>
      <c r="C195" s="64" t="s">
        <v>119</v>
      </c>
      <c r="D195" s="33" t="s">
        <v>230</v>
      </c>
      <c r="E195" s="87" t="s">
        <v>322</v>
      </c>
      <c r="F195" s="33" t="s">
        <v>74</v>
      </c>
      <c r="G195" s="33" t="s">
        <v>57</v>
      </c>
      <c r="H195" s="34">
        <f>H196</f>
        <v>320.2</v>
      </c>
      <c r="I195" s="71">
        <f>I196</f>
        <v>50</v>
      </c>
      <c r="J195" s="71">
        <f>J196</f>
        <v>50</v>
      </c>
      <c r="K195" s="71">
        <f>K196</f>
        <v>100</v>
      </c>
      <c r="L195" s="71">
        <f>L196</f>
        <v>0</v>
      </c>
      <c r="M195" s="36"/>
    </row>
    <row r="196" spans="1:13" s="21" customFormat="1" ht="24.75" hidden="1" customHeight="1" x14ac:dyDescent="0.4">
      <c r="A196" s="50" t="s">
        <v>325</v>
      </c>
      <c r="B196" s="58" t="s">
        <v>59</v>
      </c>
      <c r="C196" s="82" t="s">
        <v>119</v>
      </c>
      <c r="D196" s="50" t="s">
        <v>230</v>
      </c>
      <c r="E196" s="88" t="s">
        <v>322</v>
      </c>
      <c r="F196" s="50" t="s">
        <v>74</v>
      </c>
      <c r="G196" s="50" t="s">
        <v>60</v>
      </c>
      <c r="H196" s="51">
        <v>320.2</v>
      </c>
      <c r="I196" s="76">
        <v>50</v>
      </c>
      <c r="J196" s="76">
        <v>50</v>
      </c>
      <c r="K196" s="76">
        <f>50+50</f>
        <v>100</v>
      </c>
      <c r="L196" s="76">
        <f>50-50</f>
        <v>0</v>
      </c>
      <c r="M196" s="36"/>
    </row>
    <row r="197" spans="1:13" s="21" customFormat="1" ht="56.25" customHeight="1" x14ac:dyDescent="0.4">
      <c r="A197" s="33" t="s">
        <v>326</v>
      </c>
      <c r="B197" s="78" t="s">
        <v>327</v>
      </c>
      <c r="C197" s="64" t="s">
        <v>119</v>
      </c>
      <c r="D197" s="33" t="s">
        <v>230</v>
      </c>
      <c r="E197" s="87" t="s">
        <v>328</v>
      </c>
      <c r="F197" s="33"/>
      <c r="G197" s="33"/>
      <c r="H197" s="34">
        <f>H198</f>
        <v>234.8</v>
      </c>
      <c r="I197" s="89">
        <f>I200</f>
        <v>0</v>
      </c>
      <c r="J197" s="89">
        <f>J200</f>
        <v>0</v>
      </c>
      <c r="K197" s="89">
        <f>K200</f>
        <v>40</v>
      </c>
      <c r="L197" s="89">
        <f>L200</f>
        <v>40</v>
      </c>
      <c r="M197" s="36"/>
    </row>
    <row r="198" spans="1:13" s="21" customFormat="1" ht="38.25" customHeight="1" x14ac:dyDescent="0.4">
      <c r="A198" s="33" t="s">
        <v>329</v>
      </c>
      <c r="B198" s="46" t="s">
        <v>70</v>
      </c>
      <c r="C198" s="64" t="s">
        <v>119</v>
      </c>
      <c r="D198" s="33" t="s">
        <v>230</v>
      </c>
      <c r="E198" s="87" t="s">
        <v>328</v>
      </c>
      <c r="F198" s="33" t="s">
        <v>71</v>
      </c>
      <c r="G198" s="33"/>
      <c r="H198" s="34">
        <f>H199</f>
        <v>234.8</v>
      </c>
      <c r="I198" s="71">
        <f>I200</f>
        <v>0</v>
      </c>
      <c r="J198" s="71">
        <f>J200</f>
        <v>0</v>
      </c>
      <c r="K198" s="71">
        <f>K200</f>
        <v>40</v>
      </c>
      <c r="L198" s="71">
        <f>L200</f>
        <v>40</v>
      </c>
      <c r="M198" s="36"/>
    </row>
    <row r="199" spans="1:13" s="21" customFormat="1" ht="38.25" customHeight="1" x14ac:dyDescent="0.4">
      <c r="A199" s="33" t="s">
        <v>330</v>
      </c>
      <c r="B199" s="46" t="s">
        <v>73</v>
      </c>
      <c r="C199" s="64" t="s">
        <v>119</v>
      </c>
      <c r="D199" s="33" t="s">
        <v>230</v>
      </c>
      <c r="E199" s="87" t="s">
        <v>328</v>
      </c>
      <c r="F199" s="33" t="s">
        <v>74</v>
      </c>
      <c r="G199" s="33"/>
      <c r="H199" s="34">
        <v>234.8</v>
      </c>
      <c r="I199" s="71"/>
      <c r="J199" s="71"/>
      <c r="K199" s="71"/>
      <c r="L199" s="71"/>
      <c r="M199" s="36"/>
    </row>
    <row r="200" spans="1:13" s="21" customFormat="1" ht="24.75" hidden="1" customHeight="1" x14ac:dyDescent="0.4">
      <c r="A200" s="33" t="s">
        <v>331</v>
      </c>
      <c r="B200" s="46" t="s">
        <v>56</v>
      </c>
      <c r="C200" s="64" t="s">
        <v>119</v>
      </c>
      <c r="D200" s="33" t="s">
        <v>230</v>
      </c>
      <c r="E200" s="87" t="s">
        <v>328</v>
      </c>
      <c r="F200" s="33" t="s">
        <v>74</v>
      </c>
      <c r="G200" s="33" t="s">
        <v>57</v>
      </c>
      <c r="H200" s="34">
        <f>H201</f>
        <v>84.8</v>
      </c>
      <c r="I200" s="71">
        <f>I201</f>
        <v>0</v>
      </c>
      <c r="J200" s="71">
        <f>J201</f>
        <v>0</v>
      </c>
      <c r="K200" s="71">
        <f>K201</f>
        <v>40</v>
      </c>
      <c r="L200" s="71">
        <f>L201</f>
        <v>40</v>
      </c>
      <c r="M200" s="36"/>
    </row>
    <row r="201" spans="1:13" s="21" customFormat="1" ht="17.25" hidden="1" customHeight="1" x14ac:dyDescent="0.4">
      <c r="A201" s="50" t="s">
        <v>332</v>
      </c>
      <c r="B201" s="58" t="s">
        <v>59</v>
      </c>
      <c r="C201" s="82" t="s">
        <v>119</v>
      </c>
      <c r="D201" s="50" t="s">
        <v>230</v>
      </c>
      <c r="E201" s="88" t="s">
        <v>328</v>
      </c>
      <c r="F201" s="50" t="s">
        <v>74</v>
      </c>
      <c r="G201" s="50" t="s">
        <v>60</v>
      </c>
      <c r="H201" s="51">
        <v>84.8</v>
      </c>
      <c r="I201" s="76">
        <f>40-40</f>
        <v>0</v>
      </c>
      <c r="J201" s="76">
        <f>40-40</f>
        <v>0</v>
      </c>
      <c r="K201" s="76">
        <v>40</v>
      </c>
      <c r="L201" s="76">
        <v>40</v>
      </c>
      <c r="M201" s="36"/>
    </row>
    <row r="202" spans="1:13" s="21" customFormat="1" ht="17.25" hidden="1" customHeight="1" x14ac:dyDescent="0.4">
      <c r="A202" s="33" t="s">
        <v>333</v>
      </c>
      <c r="B202" s="78" t="s">
        <v>87</v>
      </c>
      <c r="C202" s="64" t="s">
        <v>119</v>
      </c>
      <c r="D202" s="33" t="s">
        <v>230</v>
      </c>
      <c r="E202" s="87" t="s">
        <v>328</v>
      </c>
      <c r="F202" s="33" t="s">
        <v>74</v>
      </c>
      <c r="G202" s="33" t="s">
        <v>88</v>
      </c>
      <c r="H202" s="34">
        <f>H203+H204</f>
        <v>50</v>
      </c>
      <c r="I202" s="76"/>
      <c r="J202" s="76"/>
      <c r="K202" s="76"/>
      <c r="L202" s="76"/>
      <c r="M202" s="36"/>
    </row>
    <row r="203" spans="1:13" s="21" customFormat="1" ht="17.25" hidden="1" customHeight="1" x14ac:dyDescent="0.4">
      <c r="A203" s="50" t="s">
        <v>334</v>
      </c>
      <c r="B203" s="92" t="s">
        <v>209</v>
      </c>
      <c r="C203" s="82" t="s">
        <v>119</v>
      </c>
      <c r="D203" s="50" t="s">
        <v>230</v>
      </c>
      <c r="E203" s="88" t="s">
        <v>328</v>
      </c>
      <c r="F203" s="50" t="s">
        <v>74</v>
      </c>
      <c r="G203" s="50" t="s">
        <v>91</v>
      </c>
      <c r="H203" s="51">
        <v>45</v>
      </c>
      <c r="I203" s="76"/>
      <c r="J203" s="76"/>
      <c r="K203" s="76"/>
      <c r="L203" s="76"/>
      <c r="M203" s="36"/>
    </row>
    <row r="204" spans="1:13" s="21" customFormat="1" ht="17.25" hidden="1" customHeight="1" x14ac:dyDescent="0.4">
      <c r="A204" s="50" t="s">
        <v>335</v>
      </c>
      <c r="B204" s="92" t="s">
        <v>269</v>
      </c>
      <c r="C204" s="82" t="s">
        <v>119</v>
      </c>
      <c r="D204" s="50" t="s">
        <v>230</v>
      </c>
      <c r="E204" s="88" t="s">
        <v>328</v>
      </c>
      <c r="F204" s="50" t="s">
        <v>74</v>
      </c>
      <c r="G204" s="50" t="s">
        <v>94</v>
      </c>
      <c r="H204" s="51">
        <v>5</v>
      </c>
      <c r="I204" s="76"/>
      <c r="J204" s="76"/>
      <c r="K204" s="76"/>
      <c r="L204" s="76"/>
      <c r="M204" s="36"/>
    </row>
    <row r="205" spans="1:13" s="21" customFormat="1" ht="20.25" customHeight="1" x14ac:dyDescent="0.4">
      <c r="A205" s="33" t="s">
        <v>16</v>
      </c>
      <c r="B205" s="78" t="s">
        <v>336</v>
      </c>
      <c r="C205" s="64" t="s">
        <v>119</v>
      </c>
      <c r="D205" s="33" t="s">
        <v>337</v>
      </c>
      <c r="E205" s="33"/>
      <c r="F205" s="33"/>
      <c r="G205" s="33"/>
      <c r="H205" s="34">
        <f>H206+H211</f>
        <v>90</v>
      </c>
      <c r="I205" s="80" t="e">
        <f>#REF!+#REF!</f>
        <v>#REF!</v>
      </c>
      <c r="J205" s="80" t="e">
        <f>#REF!+#REF!</f>
        <v>#REF!</v>
      </c>
      <c r="K205" s="80" t="e">
        <f>#REF!+#REF!</f>
        <v>#REF!</v>
      </c>
      <c r="L205" s="80" t="e">
        <f>#REF!+#REF!</f>
        <v>#REF!</v>
      </c>
      <c r="M205" s="36"/>
    </row>
    <row r="206" spans="1:13" s="21" customFormat="1" ht="37" customHeight="1" x14ac:dyDescent="0.4">
      <c r="A206" s="33" t="s">
        <v>338</v>
      </c>
      <c r="B206" s="93" t="s">
        <v>339</v>
      </c>
      <c r="C206" s="64" t="s">
        <v>119</v>
      </c>
      <c r="D206" s="33" t="s">
        <v>340</v>
      </c>
      <c r="E206" s="33"/>
      <c r="F206" s="33"/>
      <c r="G206" s="33"/>
      <c r="H206" s="34">
        <f>H207</f>
        <v>72</v>
      </c>
      <c r="I206" s="80"/>
      <c r="J206" s="80"/>
      <c r="K206" s="80"/>
      <c r="L206" s="80"/>
      <c r="M206" s="36"/>
    </row>
    <row r="207" spans="1:13" s="21" customFormat="1" ht="24.5" customHeight="1" x14ac:dyDescent="0.4">
      <c r="A207" s="33" t="s">
        <v>341</v>
      </c>
      <c r="B207" s="78" t="s">
        <v>342</v>
      </c>
      <c r="C207" s="64" t="s">
        <v>119</v>
      </c>
      <c r="D207" s="33" t="s">
        <v>340</v>
      </c>
      <c r="E207" s="33" t="s">
        <v>343</v>
      </c>
      <c r="F207" s="33"/>
      <c r="G207" s="33"/>
      <c r="H207" s="34">
        <f>H208</f>
        <v>72</v>
      </c>
      <c r="I207" s="80"/>
      <c r="J207" s="80"/>
      <c r="K207" s="80"/>
      <c r="L207" s="80"/>
      <c r="M207" s="36"/>
    </row>
    <row r="208" spans="1:13" s="21" customFormat="1" ht="129" customHeight="1" x14ac:dyDescent="0.4">
      <c r="A208" s="33" t="s">
        <v>344</v>
      </c>
      <c r="B208" s="78" t="s">
        <v>345</v>
      </c>
      <c r="C208" s="64" t="s">
        <v>119</v>
      </c>
      <c r="D208" s="33" t="s">
        <v>340</v>
      </c>
      <c r="E208" s="33" t="s">
        <v>346</v>
      </c>
      <c r="F208" s="33"/>
      <c r="G208" s="33"/>
      <c r="H208" s="34">
        <f>H209</f>
        <v>72</v>
      </c>
      <c r="I208" s="80"/>
      <c r="J208" s="80"/>
      <c r="K208" s="80"/>
      <c r="L208" s="80"/>
      <c r="M208" s="36"/>
    </row>
    <row r="209" spans="1:15" s="21" customFormat="1" ht="40.5" customHeight="1" x14ac:dyDescent="0.4">
      <c r="A209" s="33" t="s">
        <v>347</v>
      </c>
      <c r="B209" s="78" t="s">
        <v>70</v>
      </c>
      <c r="C209" s="64" t="s">
        <v>119</v>
      </c>
      <c r="D209" s="33" t="s">
        <v>340</v>
      </c>
      <c r="E209" s="33" t="s">
        <v>346</v>
      </c>
      <c r="F209" s="33" t="s">
        <v>71</v>
      </c>
      <c r="G209" s="33"/>
      <c r="H209" s="34">
        <f>H210</f>
        <v>72</v>
      </c>
      <c r="I209" s="80"/>
      <c r="J209" s="80"/>
      <c r="K209" s="80"/>
      <c r="L209" s="80"/>
      <c r="M209" s="36"/>
    </row>
    <row r="210" spans="1:15" s="21" customFormat="1" ht="43.5" customHeight="1" x14ac:dyDescent="0.4">
      <c r="A210" s="33" t="s">
        <v>348</v>
      </c>
      <c r="B210" s="78" t="s">
        <v>73</v>
      </c>
      <c r="C210" s="64" t="s">
        <v>119</v>
      </c>
      <c r="D210" s="33" t="s">
        <v>340</v>
      </c>
      <c r="E210" s="33" t="s">
        <v>346</v>
      </c>
      <c r="F210" s="33" t="s">
        <v>74</v>
      </c>
      <c r="G210" s="33"/>
      <c r="H210" s="34">
        <v>72</v>
      </c>
      <c r="I210" s="80"/>
      <c r="J210" s="80"/>
      <c r="K210" s="80"/>
      <c r="L210" s="80"/>
      <c r="M210" s="36"/>
    </row>
    <row r="211" spans="1:15" s="21" customFormat="1" ht="20.25" customHeight="1" x14ac:dyDescent="0.4">
      <c r="A211" s="33" t="s">
        <v>349</v>
      </c>
      <c r="B211" s="78" t="s">
        <v>350</v>
      </c>
      <c r="C211" s="64" t="s">
        <v>119</v>
      </c>
      <c r="D211" s="64" t="s">
        <v>351</v>
      </c>
      <c r="E211" s="33"/>
      <c r="F211" s="33"/>
      <c r="G211" s="33"/>
      <c r="H211" s="34">
        <f>H212</f>
        <v>18</v>
      </c>
      <c r="I211" s="89"/>
      <c r="J211" s="89"/>
      <c r="K211" s="89"/>
      <c r="L211" s="89"/>
      <c r="M211" s="36"/>
    </row>
    <row r="212" spans="1:15" s="21" customFormat="1" ht="93" customHeight="1" x14ac:dyDescent="0.4">
      <c r="A212" s="33" t="s">
        <v>352</v>
      </c>
      <c r="B212" s="78" t="s">
        <v>353</v>
      </c>
      <c r="C212" s="64" t="s">
        <v>119</v>
      </c>
      <c r="D212" s="64" t="s">
        <v>351</v>
      </c>
      <c r="E212" s="33" t="s">
        <v>354</v>
      </c>
      <c r="F212" s="33"/>
      <c r="G212" s="33"/>
      <c r="H212" s="34">
        <f>H213</f>
        <v>18</v>
      </c>
      <c r="I212" s="76"/>
      <c r="J212" s="76"/>
      <c r="K212" s="76"/>
      <c r="L212" s="76"/>
      <c r="M212" s="36"/>
    </row>
    <row r="213" spans="1:15" s="21" customFormat="1" ht="39.5" customHeight="1" x14ac:dyDescent="0.4">
      <c r="A213" s="33" t="s">
        <v>355</v>
      </c>
      <c r="B213" s="78" t="s">
        <v>70</v>
      </c>
      <c r="C213" s="64" t="s">
        <v>119</v>
      </c>
      <c r="D213" s="64" t="s">
        <v>351</v>
      </c>
      <c r="E213" s="33" t="s">
        <v>354</v>
      </c>
      <c r="F213" s="33" t="s">
        <v>71</v>
      </c>
      <c r="G213" s="33"/>
      <c r="H213" s="34">
        <f>H214</f>
        <v>18</v>
      </c>
      <c r="I213" s="76"/>
      <c r="J213" s="76"/>
      <c r="K213" s="76"/>
      <c r="L213" s="76"/>
      <c r="M213" s="36"/>
    </row>
    <row r="214" spans="1:15" s="21" customFormat="1" ht="41.25" customHeight="1" x14ac:dyDescent="0.4">
      <c r="A214" s="33" t="s">
        <v>356</v>
      </c>
      <c r="B214" s="46" t="s">
        <v>73</v>
      </c>
      <c r="C214" s="64" t="s">
        <v>119</v>
      </c>
      <c r="D214" s="64" t="s">
        <v>351</v>
      </c>
      <c r="E214" s="33" t="s">
        <v>354</v>
      </c>
      <c r="F214" s="33" t="s">
        <v>74</v>
      </c>
      <c r="G214" s="33"/>
      <c r="H214" s="34">
        <v>18</v>
      </c>
      <c r="I214" s="76"/>
      <c r="J214" s="76"/>
      <c r="K214" s="76"/>
      <c r="L214" s="76"/>
      <c r="M214" s="36"/>
    </row>
    <row r="215" spans="1:15" s="21" customFormat="1" ht="20.25" hidden="1" customHeight="1" x14ac:dyDescent="0.4">
      <c r="A215" s="33" t="s">
        <v>357</v>
      </c>
      <c r="B215" s="46" t="s">
        <v>56</v>
      </c>
      <c r="C215" s="64" t="s">
        <v>119</v>
      </c>
      <c r="D215" s="64" t="s">
        <v>351</v>
      </c>
      <c r="E215" s="33" t="s">
        <v>354</v>
      </c>
      <c r="F215" s="33" t="s">
        <v>74</v>
      </c>
      <c r="G215" s="33" t="s">
        <v>57</v>
      </c>
      <c r="H215" s="34">
        <f>H216</f>
        <v>30</v>
      </c>
      <c r="I215" s="76"/>
      <c r="J215" s="76"/>
      <c r="K215" s="76"/>
      <c r="L215" s="76"/>
      <c r="M215" s="36"/>
    </row>
    <row r="216" spans="1:15" s="21" customFormat="1" ht="20.25" hidden="1" customHeight="1" x14ac:dyDescent="0.4">
      <c r="A216" s="50" t="s">
        <v>358</v>
      </c>
      <c r="B216" s="58" t="s">
        <v>59</v>
      </c>
      <c r="C216" s="82" t="s">
        <v>119</v>
      </c>
      <c r="D216" s="82" t="s">
        <v>351</v>
      </c>
      <c r="E216" s="50" t="s">
        <v>354</v>
      </c>
      <c r="F216" s="50" t="s">
        <v>74</v>
      </c>
      <c r="G216" s="50" t="s">
        <v>60</v>
      </c>
      <c r="H216" s="51">
        <v>30</v>
      </c>
      <c r="I216" s="76"/>
      <c r="J216" s="76"/>
      <c r="K216" s="76"/>
      <c r="L216" s="76"/>
      <c r="M216" s="36"/>
    </row>
    <row r="217" spans="1:15" s="21" customFormat="1" ht="25.5" hidden="1" customHeight="1" x14ac:dyDescent="0.4">
      <c r="A217" s="33" t="s">
        <v>359</v>
      </c>
      <c r="B217" s="78" t="s">
        <v>102</v>
      </c>
      <c r="C217" s="64" t="s">
        <v>119</v>
      </c>
      <c r="D217" s="64" t="s">
        <v>351</v>
      </c>
      <c r="E217" s="33" t="s">
        <v>354</v>
      </c>
      <c r="F217" s="33" t="s">
        <v>74</v>
      </c>
      <c r="G217" s="33" t="s">
        <v>103</v>
      </c>
      <c r="H217" s="34">
        <v>65</v>
      </c>
      <c r="I217" s="76"/>
      <c r="J217" s="76"/>
      <c r="K217" s="76"/>
      <c r="L217" s="76"/>
      <c r="M217" s="36"/>
    </row>
    <row r="218" spans="1:15" s="21" customFormat="1" ht="25.5" hidden="1" customHeight="1" x14ac:dyDescent="0.4">
      <c r="A218" s="33" t="s">
        <v>360</v>
      </c>
      <c r="B218" s="78" t="s">
        <v>87</v>
      </c>
      <c r="C218" s="64" t="s">
        <v>119</v>
      </c>
      <c r="D218" s="64" t="s">
        <v>351</v>
      </c>
      <c r="E218" s="33" t="s">
        <v>354</v>
      </c>
      <c r="F218" s="33" t="s">
        <v>74</v>
      </c>
      <c r="G218" s="33" t="s">
        <v>88</v>
      </c>
      <c r="H218" s="34">
        <f>H219</f>
        <v>5</v>
      </c>
      <c r="I218" s="76"/>
      <c r="J218" s="76"/>
      <c r="K218" s="76"/>
      <c r="L218" s="76"/>
      <c r="M218" s="36"/>
    </row>
    <row r="219" spans="1:15" s="21" customFormat="1" ht="25.5" hidden="1" customHeight="1" x14ac:dyDescent="0.4">
      <c r="A219" s="50" t="s">
        <v>361</v>
      </c>
      <c r="B219" s="92" t="s">
        <v>269</v>
      </c>
      <c r="C219" s="82" t="s">
        <v>119</v>
      </c>
      <c r="D219" s="82" t="s">
        <v>351</v>
      </c>
      <c r="E219" s="50" t="s">
        <v>354</v>
      </c>
      <c r="F219" s="50" t="s">
        <v>74</v>
      </c>
      <c r="G219" s="50" t="s">
        <v>94</v>
      </c>
      <c r="H219" s="51">
        <v>5</v>
      </c>
      <c r="I219" s="76"/>
      <c r="J219" s="76"/>
      <c r="K219" s="76"/>
      <c r="L219" s="76"/>
      <c r="M219" s="36"/>
    </row>
    <row r="220" spans="1:15" s="62" customFormat="1" ht="19.5" customHeight="1" x14ac:dyDescent="0.4">
      <c r="A220" s="33" t="s">
        <v>362</v>
      </c>
      <c r="B220" s="78" t="s">
        <v>363</v>
      </c>
      <c r="C220" s="64" t="s">
        <v>119</v>
      </c>
      <c r="D220" s="33" t="s">
        <v>364</v>
      </c>
      <c r="E220" s="33"/>
      <c r="F220" s="33"/>
      <c r="G220" s="33"/>
      <c r="H220" s="34">
        <f>H221</f>
        <v>5148.3</v>
      </c>
      <c r="I220" s="80" t="e">
        <f>#REF!+#REF!+I221</f>
        <v>#REF!</v>
      </c>
      <c r="J220" s="80" t="e">
        <f>#REF!+#REF!+J221</f>
        <v>#REF!</v>
      </c>
      <c r="K220" s="80" t="e">
        <f>#REF!+#REF!+K221</f>
        <v>#REF!</v>
      </c>
      <c r="L220" s="80" t="e">
        <f>#REF!+#REF!+L221</f>
        <v>#REF!</v>
      </c>
      <c r="M220" s="36"/>
      <c r="O220" s="21"/>
    </row>
    <row r="221" spans="1:15" s="62" customFormat="1" ht="20.25" customHeight="1" x14ac:dyDescent="0.4">
      <c r="A221" s="33" t="s">
        <v>365</v>
      </c>
      <c r="B221" s="78" t="s">
        <v>366</v>
      </c>
      <c r="C221" s="64" t="s">
        <v>119</v>
      </c>
      <c r="D221" s="33" t="s">
        <v>367</v>
      </c>
      <c r="E221" s="33"/>
      <c r="F221" s="33"/>
      <c r="G221" s="33"/>
      <c r="H221" s="34">
        <f>H222</f>
        <v>5148.3</v>
      </c>
      <c r="I221" s="89" t="e">
        <f>I222+#REF!</f>
        <v>#REF!</v>
      </c>
      <c r="J221" s="89" t="e">
        <f>J222+#REF!</f>
        <v>#REF!</v>
      </c>
      <c r="K221" s="89" t="e">
        <f>K222+#REF!</f>
        <v>#REF!</v>
      </c>
      <c r="L221" s="89" t="e">
        <f>L222+#REF!</f>
        <v>#REF!</v>
      </c>
      <c r="M221" s="36"/>
    </row>
    <row r="222" spans="1:15" s="62" customFormat="1" ht="79" customHeight="1" x14ac:dyDescent="0.4">
      <c r="A222" s="33" t="s">
        <v>368</v>
      </c>
      <c r="B222" s="79" t="s">
        <v>369</v>
      </c>
      <c r="C222" s="64" t="s">
        <v>119</v>
      </c>
      <c r="D222" s="33" t="s">
        <v>370</v>
      </c>
      <c r="E222" s="33" t="s">
        <v>371</v>
      </c>
      <c r="F222" s="33"/>
      <c r="G222" s="33"/>
      <c r="H222" s="34">
        <f>H223</f>
        <v>5148.3</v>
      </c>
      <c r="I222" s="71" t="e">
        <f>I224</f>
        <v>#REF!</v>
      </c>
      <c r="J222" s="71" t="e">
        <f>J224</f>
        <v>#REF!</v>
      </c>
      <c r="K222" s="71" t="e">
        <f>K224</f>
        <v>#REF!</v>
      </c>
      <c r="L222" s="71" t="e">
        <f>L224</f>
        <v>#REF!</v>
      </c>
      <c r="M222" s="36"/>
    </row>
    <row r="223" spans="1:15" s="62" customFormat="1" ht="45.5" customHeight="1" x14ac:dyDescent="0.4">
      <c r="A223" s="33" t="s">
        <v>372</v>
      </c>
      <c r="B223" s="79" t="s">
        <v>70</v>
      </c>
      <c r="C223" s="64" t="s">
        <v>119</v>
      </c>
      <c r="D223" s="33" t="s">
        <v>367</v>
      </c>
      <c r="E223" s="33" t="s">
        <v>371</v>
      </c>
      <c r="F223" s="33" t="s">
        <v>71</v>
      </c>
      <c r="G223" s="33"/>
      <c r="H223" s="34">
        <f>H224</f>
        <v>5148.3</v>
      </c>
      <c r="I223" s="71"/>
      <c r="J223" s="71"/>
      <c r="K223" s="71"/>
      <c r="L223" s="71"/>
      <c r="M223" s="36"/>
    </row>
    <row r="224" spans="1:15" s="62" customFormat="1" ht="40.5" customHeight="1" x14ac:dyDescent="0.4">
      <c r="A224" s="33" t="s">
        <v>372</v>
      </c>
      <c r="B224" s="46" t="s">
        <v>73</v>
      </c>
      <c r="C224" s="64" t="s">
        <v>119</v>
      </c>
      <c r="D224" s="33" t="s">
        <v>367</v>
      </c>
      <c r="E224" s="33" t="s">
        <v>371</v>
      </c>
      <c r="F224" s="33" t="s">
        <v>74</v>
      </c>
      <c r="G224" s="33"/>
      <c r="H224" s="34">
        <v>5148.3</v>
      </c>
      <c r="I224" s="71" t="e">
        <f>I225+I227</f>
        <v>#REF!</v>
      </c>
      <c r="J224" s="71" t="e">
        <f>J225+J227</f>
        <v>#REF!</v>
      </c>
      <c r="K224" s="71" t="e">
        <f>K225+K227</f>
        <v>#REF!</v>
      </c>
      <c r="L224" s="71" t="e">
        <f>L225+L227</f>
        <v>#REF!</v>
      </c>
      <c r="M224" s="36"/>
    </row>
    <row r="225" spans="1:15" s="62" customFormat="1" ht="24" hidden="1" customHeight="1" x14ac:dyDescent="0.4">
      <c r="A225" s="33" t="s">
        <v>373</v>
      </c>
      <c r="B225" s="46" t="s">
        <v>56</v>
      </c>
      <c r="C225" s="64" t="s">
        <v>119</v>
      </c>
      <c r="D225" s="33" t="s">
        <v>367</v>
      </c>
      <c r="E225" s="33" t="s">
        <v>371</v>
      </c>
      <c r="F225" s="33" t="s">
        <v>74</v>
      </c>
      <c r="G225" s="33" t="s">
        <v>57</v>
      </c>
      <c r="H225" s="34">
        <f>H226</f>
        <v>1466.3</v>
      </c>
      <c r="I225" s="71" t="e">
        <f>#REF!+I226+#REF!</f>
        <v>#REF!</v>
      </c>
      <c r="J225" s="71" t="e">
        <f>#REF!+J226+#REF!</f>
        <v>#REF!</v>
      </c>
      <c r="K225" s="71" t="e">
        <f>#REF!+K226+#REF!</f>
        <v>#REF!</v>
      </c>
      <c r="L225" s="71" t="e">
        <f>#REF!+L226+#REF!</f>
        <v>#REF!</v>
      </c>
      <c r="M225" s="36"/>
    </row>
    <row r="226" spans="1:15" s="62" customFormat="1" ht="21" hidden="1" customHeight="1" x14ac:dyDescent="0.4">
      <c r="A226" s="33" t="s">
        <v>374</v>
      </c>
      <c r="B226" s="58" t="s">
        <v>59</v>
      </c>
      <c r="C226" s="82" t="s">
        <v>119</v>
      </c>
      <c r="D226" s="50" t="s">
        <v>367</v>
      </c>
      <c r="E226" s="50" t="s">
        <v>371</v>
      </c>
      <c r="F226" s="57" t="s">
        <v>74</v>
      </c>
      <c r="G226" s="57" t="s">
        <v>60</v>
      </c>
      <c r="H226" s="51">
        <v>1466.3</v>
      </c>
      <c r="I226" s="94">
        <f>230-80+50+35</f>
        <v>235</v>
      </c>
      <c r="J226" s="94">
        <f>260+350-64+62.2</f>
        <v>608.20000000000005</v>
      </c>
      <c r="K226" s="94">
        <f>100+20+17</f>
        <v>137</v>
      </c>
      <c r="L226" s="94">
        <v>190</v>
      </c>
      <c r="M226" s="36"/>
    </row>
    <row r="227" spans="1:15" s="62" customFormat="1" ht="18.75" hidden="1" customHeight="1" x14ac:dyDescent="0.4">
      <c r="A227" s="33" t="s">
        <v>375</v>
      </c>
      <c r="B227" s="78" t="s">
        <v>102</v>
      </c>
      <c r="C227" s="64" t="s">
        <v>119</v>
      </c>
      <c r="D227" s="33" t="s">
        <v>367</v>
      </c>
      <c r="E227" s="33" t="s">
        <v>371</v>
      </c>
      <c r="F227" s="33" t="s">
        <v>74</v>
      </c>
      <c r="G227" s="33" t="s">
        <v>103</v>
      </c>
      <c r="H227" s="34">
        <v>2050</v>
      </c>
      <c r="I227" s="47">
        <f>80+35</f>
        <v>115</v>
      </c>
      <c r="J227" s="47">
        <f>417+102-12.2</f>
        <v>506.8</v>
      </c>
      <c r="K227" s="47">
        <f>40+85</f>
        <v>125</v>
      </c>
      <c r="L227" s="47">
        <v>0</v>
      </c>
      <c r="M227" s="36"/>
    </row>
    <row r="228" spans="1:15" s="36" customFormat="1" ht="22.5" customHeight="1" x14ac:dyDescent="0.4">
      <c r="A228" s="33" t="s">
        <v>376</v>
      </c>
      <c r="B228" s="46" t="s">
        <v>377</v>
      </c>
      <c r="C228" s="64" t="s">
        <v>119</v>
      </c>
      <c r="D228" s="33" t="s">
        <v>378</v>
      </c>
      <c r="E228" s="33"/>
      <c r="F228" s="33"/>
      <c r="G228" s="33"/>
      <c r="H228" s="34">
        <f>H229</f>
        <v>6827.8000000000011</v>
      </c>
      <c r="I228" s="80" t="e">
        <f>#REF!</f>
        <v>#REF!</v>
      </c>
      <c r="J228" s="80" t="e">
        <f>#REF!</f>
        <v>#REF!</v>
      </c>
      <c r="K228" s="80" t="e">
        <f>#REF!</f>
        <v>#REF!</v>
      </c>
      <c r="L228" s="80" t="e">
        <f>#REF!</f>
        <v>#REF!</v>
      </c>
      <c r="O228" s="62"/>
    </row>
    <row r="229" spans="1:15" s="21" customFormat="1" ht="21" customHeight="1" x14ac:dyDescent="0.4">
      <c r="A229" s="54" t="s">
        <v>379</v>
      </c>
      <c r="B229" s="78" t="s">
        <v>380</v>
      </c>
      <c r="C229" s="64" t="s">
        <v>119</v>
      </c>
      <c r="D229" s="33" t="s">
        <v>381</v>
      </c>
      <c r="E229" s="33"/>
      <c r="F229" s="33"/>
      <c r="G229" s="33"/>
      <c r="H229" s="34">
        <f>H230+H239</f>
        <v>6827.8000000000011</v>
      </c>
      <c r="I229" s="89">
        <f>I230</f>
        <v>970</v>
      </c>
      <c r="J229" s="89">
        <f>J230</f>
        <v>970</v>
      </c>
      <c r="K229" s="89">
        <f>K230</f>
        <v>970</v>
      </c>
      <c r="L229" s="89">
        <f>L230</f>
        <v>556.70000000000005</v>
      </c>
      <c r="M229" s="36"/>
      <c r="O229" s="36"/>
    </row>
    <row r="230" spans="1:15" s="21" customFormat="1" ht="55.5" customHeight="1" x14ac:dyDescent="0.4">
      <c r="A230" s="54" t="s">
        <v>382</v>
      </c>
      <c r="B230" s="78" t="s">
        <v>383</v>
      </c>
      <c r="C230" s="64" t="s">
        <v>119</v>
      </c>
      <c r="D230" s="33" t="s">
        <v>381</v>
      </c>
      <c r="E230" s="33" t="s">
        <v>384</v>
      </c>
      <c r="F230" s="33"/>
      <c r="G230" s="33"/>
      <c r="H230" s="34">
        <f>H231+H235</f>
        <v>4856.2000000000007</v>
      </c>
      <c r="I230" s="71">
        <f>I232+I235</f>
        <v>970</v>
      </c>
      <c r="J230" s="71">
        <f>J232+J235</f>
        <v>970</v>
      </c>
      <c r="K230" s="71">
        <f>K232+K235</f>
        <v>970</v>
      </c>
      <c r="L230" s="71">
        <f>L232+L235</f>
        <v>556.70000000000005</v>
      </c>
      <c r="M230" s="36"/>
    </row>
    <row r="231" spans="1:15" s="62" customFormat="1" ht="35" customHeight="1" x14ac:dyDescent="0.4">
      <c r="A231" s="54" t="s">
        <v>385</v>
      </c>
      <c r="B231" s="95" t="s">
        <v>386</v>
      </c>
      <c r="C231" s="33" t="s">
        <v>119</v>
      </c>
      <c r="D231" s="33" t="s">
        <v>381</v>
      </c>
      <c r="E231" s="33" t="s">
        <v>387</v>
      </c>
      <c r="F231" s="54"/>
      <c r="G231" s="54"/>
      <c r="H231" s="41">
        <f>H232</f>
        <v>3268.8</v>
      </c>
      <c r="I231" s="55">
        <f>I232</f>
        <v>700</v>
      </c>
      <c r="J231" s="55">
        <f>J232</f>
        <v>700</v>
      </c>
      <c r="K231" s="55">
        <f>K232</f>
        <v>700</v>
      </c>
      <c r="L231" s="55">
        <f>L232</f>
        <v>482.8</v>
      </c>
      <c r="M231" s="36"/>
      <c r="O231" s="21"/>
    </row>
    <row r="232" spans="1:15" s="62" customFormat="1" ht="58.5" customHeight="1" x14ac:dyDescent="0.4">
      <c r="A232" s="33" t="s">
        <v>388</v>
      </c>
      <c r="B232" s="78" t="s">
        <v>154</v>
      </c>
      <c r="C232" s="64" t="s">
        <v>119</v>
      </c>
      <c r="D232" s="33" t="s">
        <v>381</v>
      </c>
      <c r="E232" s="33" t="s">
        <v>387</v>
      </c>
      <c r="F232" s="33" t="s">
        <v>155</v>
      </c>
      <c r="G232" s="33"/>
      <c r="H232" s="34">
        <f t="shared" ref="H232:L233" si="5">H233</f>
        <v>3268.8</v>
      </c>
      <c r="I232" s="71">
        <f t="shared" si="5"/>
        <v>700</v>
      </c>
      <c r="J232" s="71">
        <f t="shared" si="5"/>
        <v>700</v>
      </c>
      <c r="K232" s="71">
        <f t="shared" si="5"/>
        <v>700</v>
      </c>
      <c r="L232" s="71">
        <f t="shared" si="5"/>
        <v>482.8</v>
      </c>
      <c r="M232" s="36"/>
    </row>
    <row r="233" spans="1:15" s="62" customFormat="1" ht="20.25" hidden="1" customHeight="1" x14ac:dyDescent="0.4">
      <c r="A233" s="33" t="s">
        <v>389</v>
      </c>
      <c r="B233" s="46" t="s">
        <v>390</v>
      </c>
      <c r="C233" s="64" t="s">
        <v>119</v>
      </c>
      <c r="D233" s="33" t="s">
        <v>381</v>
      </c>
      <c r="E233" s="33" t="s">
        <v>387</v>
      </c>
      <c r="F233" s="54" t="s">
        <v>155</v>
      </c>
      <c r="G233" s="54" t="s">
        <v>391</v>
      </c>
      <c r="H233" s="41">
        <f t="shared" si="5"/>
        <v>3268.8</v>
      </c>
      <c r="I233" s="96">
        <f t="shared" si="5"/>
        <v>700</v>
      </c>
      <c r="J233" s="96">
        <f t="shared" si="5"/>
        <v>700</v>
      </c>
      <c r="K233" s="96">
        <f t="shared" si="5"/>
        <v>700</v>
      </c>
      <c r="L233" s="96">
        <f t="shared" si="5"/>
        <v>482.8</v>
      </c>
      <c r="M233" s="36"/>
    </row>
    <row r="234" spans="1:15" s="21" customFormat="1" ht="18.75" hidden="1" customHeight="1" x14ac:dyDescent="0.4">
      <c r="A234" s="50" t="s">
        <v>389</v>
      </c>
      <c r="B234" s="58" t="s">
        <v>392</v>
      </c>
      <c r="C234" s="82" t="s">
        <v>119</v>
      </c>
      <c r="D234" s="50" t="s">
        <v>381</v>
      </c>
      <c r="E234" s="50" t="s">
        <v>387</v>
      </c>
      <c r="F234" s="57" t="s">
        <v>155</v>
      </c>
      <c r="G234" s="57">
        <v>262</v>
      </c>
      <c r="H234" s="59">
        <v>3268.8</v>
      </c>
      <c r="I234" s="60">
        <v>700</v>
      </c>
      <c r="J234" s="60">
        <v>700</v>
      </c>
      <c r="K234" s="60">
        <v>700</v>
      </c>
      <c r="L234" s="60">
        <f>777.6-294.8</f>
        <v>482.8</v>
      </c>
      <c r="M234" s="36"/>
      <c r="O234" s="62"/>
    </row>
    <row r="235" spans="1:15" s="21" customFormat="1" ht="40" customHeight="1" x14ac:dyDescent="0.4">
      <c r="A235" s="54" t="s">
        <v>393</v>
      </c>
      <c r="B235" s="78" t="s">
        <v>394</v>
      </c>
      <c r="C235" s="64" t="s">
        <v>119</v>
      </c>
      <c r="D235" s="33" t="s">
        <v>381</v>
      </c>
      <c r="E235" s="87" t="s">
        <v>395</v>
      </c>
      <c r="F235" s="33"/>
      <c r="G235" s="33"/>
      <c r="H235" s="34">
        <f t="shared" ref="H235:L237" si="6">H236</f>
        <v>1587.4</v>
      </c>
      <c r="I235" s="89">
        <f t="shared" si="6"/>
        <v>270</v>
      </c>
      <c r="J235" s="89">
        <f t="shared" si="6"/>
        <v>270</v>
      </c>
      <c r="K235" s="89">
        <f t="shared" si="6"/>
        <v>270</v>
      </c>
      <c r="L235" s="89">
        <f t="shared" si="6"/>
        <v>73.900000000000006</v>
      </c>
      <c r="M235" s="36"/>
    </row>
    <row r="236" spans="1:15" s="21" customFormat="1" ht="55.5" customHeight="1" x14ac:dyDescent="0.4">
      <c r="A236" s="33" t="s">
        <v>393</v>
      </c>
      <c r="B236" s="78" t="s">
        <v>154</v>
      </c>
      <c r="C236" s="64" t="s">
        <v>119</v>
      </c>
      <c r="D236" s="33" t="s">
        <v>381</v>
      </c>
      <c r="E236" s="87" t="s">
        <v>395</v>
      </c>
      <c r="F236" s="33" t="s">
        <v>155</v>
      </c>
      <c r="G236" s="33"/>
      <c r="H236" s="34">
        <f>1984.2-396.8</f>
        <v>1587.4</v>
      </c>
      <c r="I236" s="71">
        <f t="shared" si="6"/>
        <v>270</v>
      </c>
      <c r="J236" s="71">
        <f t="shared" si="6"/>
        <v>270</v>
      </c>
      <c r="K236" s="71">
        <f t="shared" si="6"/>
        <v>270</v>
      </c>
      <c r="L236" s="71">
        <f t="shared" si="6"/>
        <v>73.900000000000006</v>
      </c>
      <c r="M236" s="36"/>
    </row>
    <row r="237" spans="1:15" s="21" customFormat="1" ht="18.75" hidden="1" customHeight="1" x14ac:dyDescent="0.4">
      <c r="A237" s="33" t="s">
        <v>396</v>
      </c>
      <c r="B237" s="46" t="s">
        <v>56</v>
      </c>
      <c r="C237" s="64" t="s">
        <v>119</v>
      </c>
      <c r="D237" s="33" t="s">
        <v>381</v>
      </c>
      <c r="E237" s="87" t="s">
        <v>395</v>
      </c>
      <c r="F237" s="33" t="s">
        <v>155</v>
      </c>
      <c r="G237" s="33" t="s">
        <v>57</v>
      </c>
      <c r="H237" s="34">
        <f t="shared" si="6"/>
        <v>1587.4</v>
      </c>
      <c r="I237" s="71">
        <f t="shared" si="6"/>
        <v>270</v>
      </c>
      <c r="J237" s="71">
        <f t="shared" si="6"/>
        <v>270</v>
      </c>
      <c r="K237" s="71">
        <f t="shared" si="6"/>
        <v>270</v>
      </c>
      <c r="L237" s="71">
        <f t="shared" si="6"/>
        <v>73.900000000000006</v>
      </c>
      <c r="M237" s="36"/>
    </row>
    <row r="238" spans="1:15" s="21" customFormat="1" ht="21" hidden="1" customHeight="1" x14ac:dyDescent="0.4">
      <c r="A238" s="50" t="s">
        <v>397</v>
      </c>
      <c r="B238" s="58" t="s">
        <v>59</v>
      </c>
      <c r="C238" s="82" t="s">
        <v>119</v>
      </c>
      <c r="D238" s="50" t="s">
        <v>381</v>
      </c>
      <c r="E238" s="88" t="s">
        <v>395</v>
      </c>
      <c r="F238" s="50" t="s">
        <v>155</v>
      </c>
      <c r="G238" s="50" t="s">
        <v>60</v>
      </c>
      <c r="H238" s="51">
        <v>1587.4</v>
      </c>
      <c r="I238" s="60">
        <v>270</v>
      </c>
      <c r="J238" s="60">
        <v>270</v>
      </c>
      <c r="K238" s="60">
        <v>270</v>
      </c>
      <c r="L238" s="60">
        <f>273.5-199.6</f>
        <v>73.900000000000006</v>
      </c>
      <c r="M238" s="36"/>
    </row>
    <row r="239" spans="1:15" s="99" customFormat="1" ht="40" customHeight="1" x14ac:dyDescent="0.35">
      <c r="A239" s="33" t="s">
        <v>398</v>
      </c>
      <c r="B239" s="79" t="s">
        <v>399</v>
      </c>
      <c r="C239" s="33" t="s">
        <v>119</v>
      </c>
      <c r="D239" s="33" t="s">
        <v>381</v>
      </c>
      <c r="E239" s="33" t="s">
        <v>400</v>
      </c>
      <c r="F239" s="33"/>
      <c r="G239" s="33"/>
      <c r="H239" s="34">
        <f>H240</f>
        <v>1971.6000000000001</v>
      </c>
      <c r="I239" s="97"/>
      <c r="J239" s="97"/>
      <c r="K239" s="97"/>
      <c r="L239" s="97"/>
      <c r="M239" s="98"/>
      <c r="O239" s="21"/>
    </row>
    <row r="240" spans="1:15" s="99" customFormat="1" ht="54.75" customHeight="1" x14ac:dyDescent="0.35">
      <c r="A240" s="100" t="s">
        <v>401</v>
      </c>
      <c r="B240" s="93" t="s">
        <v>154</v>
      </c>
      <c r="C240" s="100" t="s">
        <v>119</v>
      </c>
      <c r="D240" s="100" t="s">
        <v>381</v>
      </c>
      <c r="E240" s="33" t="s">
        <v>400</v>
      </c>
      <c r="F240" s="33" t="s">
        <v>155</v>
      </c>
      <c r="G240" s="33"/>
      <c r="H240" s="34">
        <f>H241+H246+H244</f>
        <v>1971.6000000000001</v>
      </c>
      <c r="I240" s="97"/>
      <c r="J240" s="97"/>
      <c r="K240" s="97"/>
      <c r="L240" s="97"/>
      <c r="M240" s="98"/>
    </row>
    <row r="241" spans="1:15" s="21" customFormat="1" ht="33.5" hidden="1" customHeight="1" x14ac:dyDescent="0.4">
      <c r="A241" s="33" t="s">
        <v>401</v>
      </c>
      <c r="B241" s="46" t="s">
        <v>36</v>
      </c>
      <c r="C241" s="54" t="s">
        <v>119</v>
      </c>
      <c r="D241" s="54" t="s">
        <v>381</v>
      </c>
      <c r="E241" s="54" t="s">
        <v>400</v>
      </c>
      <c r="F241" s="54" t="s">
        <v>155</v>
      </c>
      <c r="G241" s="54" t="s">
        <v>37</v>
      </c>
      <c r="H241" s="34">
        <f>H242+H243</f>
        <v>1835.1000000000001</v>
      </c>
      <c r="I241" s="76"/>
      <c r="J241" s="76"/>
      <c r="K241" s="76"/>
      <c r="L241" s="76"/>
      <c r="M241" s="36"/>
      <c r="O241" s="99"/>
    </row>
    <row r="242" spans="1:15" s="21" customFormat="1" ht="21" hidden="1" customHeight="1" x14ac:dyDescent="0.4">
      <c r="A242" s="50" t="s">
        <v>402</v>
      </c>
      <c r="B242" s="49" t="s">
        <v>39</v>
      </c>
      <c r="C242" s="50" t="s">
        <v>119</v>
      </c>
      <c r="D242" s="57" t="s">
        <v>381</v>
      </c>
      <c r="E242" s="57" t="s">
        <v>400</v>
      </c>
      <c r="F242" s="57" t="s">
        <v>155</v>
      </c>
      <c r="G242" s="57" t="s">
        <v>40</v>
      </c>
      <c r="H242" s="51">
        <v>1409.4</v>
      </c>
      <c r="I242" s="76"/>
      <c r="J242" s="76"/>
      <c r="K242" s="76"/>
      <c r="L242" s="76"/>
      <c r="M242" s="36"/>
    </row>
    <row r="243" spans="1:15" s="21" customFormat="1" ht="21" hidden="1" customHeight="1" x14ac:dyDescent="0.4">
      <c r="A243" s="50" t="s">
        <v>403</v>
      </c>
      <c r="B243" s="49" t="s">
        <v>42</v>
      </c>
      <c r="C243" s="57" t="s">
        <v>119</v>
      </c>
      <c r="D243" s="57" t="s">
        <v>381</v>
      </c>
      <c r="E243" s="57" t="s">
        <v>400</v>
      </c>
      <c r="F243" s="57" t="s">
        <v>155</v>
      </c>
      <c r="G243" s="57">
        <v>213</v>
      </c>
      <c r="H243" s="51">
        <v>425.7</v>
      </c>
      <c r="I243" s="76"/>
      <c r="J243" s="76"/>
      <c r="K243" s="76"/>
      <c r="L243" s="76"/>
      <c r="M243" s="36"/>
    </row>
    <row r="244" spans="1:15" s="21" customFormat="1" ht="21" hidden="1" customHeight="1" x14ac:dyDescent="0.4">
      <c r="A244" s="33" t="s">
        <v>403</v>
      </c>
      <c r="B244" s="46" t="s">
        <v>56</v>
      </c>
      <c r="C244" s="33" t="s">
        <v>119</v>
      </c>
      <c r="D244" s="33" t="s">
        <v>381</v>
      </c>
      <c r="E244" s="33" t="s">
        <v>400</v>
      </c>
      <c r="F244" s="33" t="s">
        <v>155</v>
      </c>
      <c r="G244" s="33" t="s">
        <v>57</v>
      </c>
      <c r="H244" s="34">
        <f>H245</f>
        <v>74.900000000000006</v>
      </c>
      <c r="I244" s="76"/>
      <c r="J244" s="76"/>
      <c r="K244" s="76"/>
      <c r="L244" s="76"/>
      <c r="M244" s="36"/>
    </row>
    <row r="245" spans="1:15" s="21" customFormat="1" ht="21" hidden="1" customHeight="1" x14ac:dyDescent="0.4">
      <c r="A245" s="33" t="s">
        <v>404</v>
      </c>
      <c r="B245" s="58" t="s">
        <v>59</v>
      </c>
      <c r="C245" s="50" t="s">
        <v>119</v>
      </c>
      <c r="D245" s="50" t="s">
        <v>381</v>
      </c>
      <c r="E245" s="50" t="s">
        <v>400</v>
      </c>
      <c r="F245" s="50" t="s">
        <v>155</v>
      </c>
      <c r="G245" s="50" t="s">
        <v>60</v>
      </c>
      <c r="H245" s="51">
        <v>74.900000000000006</v>
      </c>
      <c r="I245" s="76"/>
      <c r="J245" s="76"/>
      <c r="K245" s="76"/>
      <c r="L245" s="76"/>
      <c r="M245" s="36"/>
    </row>
    <row r="246" spans="1:15" s="21" customFormat="1" ht="21" hidden="1" customHeight="1" x14ac:dyDescent="0.4">
      <c r="A246" s="33" t="s">
        <v>405</v>
      </c>
      <c r="B246" s="46" t="s">
        <v>87</v>
      </c>
      <c r="C246" s="33" t="s">
        <v>119</v>
      </c>
      <c r="D246" s="33" t="s">
        <v>381</v>
      </c>
      <c r="E246" s="33" t="s">
        <v>400</v>
      </c>
      <c r="F246" s="33" t="s">
        <v>155</v>
      </c>
      <c r="G246" s="33" t="s">
        <v>88</v>
      </c>
      <c r="H246" s="34">
        <f>H247+H248</f>
        <v>61.6</v>
      </c>
      <c r="I246" s="76"/>
      <c r="J246" s="76"/>
      <c r="K246" s="76"/>
      <c r="L246" s="76"/>
      <c r="M246" s="36"/>
    </row>
    <row r="247" spans="1:15" s="21" customFormat="1" ht="21" hidden="1" customHeight="1" x14ac:dyDescent="0.4">
      <c r="A247" s="50" t="s">
        <v>406</v>
      </c>
      <c r="B247" s="58" t="s">
        <v>90</v>
      </c>
      <c r="C247" s="50" t="s">
        <v>119</v>
      </c>
      <c r="D247" s="50" t="s">
        <v>381</v>
      </c>
      <c r="E247" s="50" t="s">
        <v>400</v>
      </c>
      <c r="F247" s="50" t="s">
        <v>155</v>
      </c>
      <c r="G247" s="57" t="s">
        <v>91</v>
      </c>
      <c r="H247" s="51">
        <f>13+35.4-3.4</f>
        <v>45</v>
      </c>
      <c r="I247" s="76"/>
      <c r="J247" s="76"/>
      <c r="K247" s="76"/>
      <c r="L247" s="76"/>
      <c r="M247" s="36"/>
    </row>
    <row r="248" spans="1:15" s="21" customFormat="1" ht="21" hidden="1" customHeight="1" x14ac:dyDescent="0.4">
      <c r="A248" s="50" t="s">
        <v>407</v>
      </c>
      <c r="B248" s="58" t="s">
        <v>93</v>
      </c>
      <c r="C248" s="50" t="s">
        <v>119</v>
      </c>
      <c r="D248" s="50" t="s">
        <v>381</v>
      </c>
      <c r="E248" s="50" t="s">
        <v>400</v>
      </c>
      <c r="F248" s="50" t="s">
        <v>155</v>
      </c>
      <c r="G248" s="57" t="s">
        <v>94</v>
      </c>
      <c r="H248" s="51">
        <f>6.6+10</f>
        <v>16.600000000000001</v>
      </c>
      <c r="I248" s="76"/>
      <c r="J248" s="76"/>
      <c r="K248" s="76"/>
      <c r="L248" s="76"/>
      <c r="M248" s="36"/>
    </row>
    <row r="249" spans="1:15" s="21" customFormat="1" ht="21" customHeight="1" x14ac:dyDescent="0.4">
      <c r="A249" s="33" t="s">
        <v>408</v>
      </c>
      <c r="B249" s="78" t="s">
        <v>409</v>
      </c>
      <c r="C249" s="64" t="s">
        <v>119</v>
      </c>
      <c r="D249" s="33" t="s">
        <v>410</v>
      </c>
      <c r="E249" s="87"/>
      <c r="F249" s="33"/>
      <c r="G249" s="33"/>
      <c r="H249" s="34">
        <f t="shared" ref="H249:H254" si="7">H250</f>
        <v>1255</v>
      </c>
      <c r="I249" s="76"/>
      <c r="J249" s="76"/>
      <c r="K249" s="76"/>
      <c r="L249" s="76"/>
      <c r="M249" s="36"/>
    </row>
    <row r="250" spans="1:15" s="21" customFormat="1" ht="18" customHeight="1" x14ac:dyDescent="0.4">
      <c r="A250" s="54" t="s">
        <v>411</v>
      </c>
      <c r="B250" s="46" t="s">
        <v>412</v>
      </c>
      <c r="C250" s="64" t="s">
        <v>119</v>
      </c>
      <c r="D250" s="33" t="s">
        <v>413</v>
      </c>
      <c r="E250" s="33"/>
      <c r="F250" s="33"/>
      <c r="G250" s="33"/>
      <c r="H250" s="34">
        <f t="shared" si="7"/>
        <v>1255</v>
      </c>
      <c r="I250" s="76"/>
      <c r="J250" s="76"/>
      <c r="K250" s="76"/>
      <c r="L250" s="76"/>
      <c r="M250" s="36"/>
    </row>
    <row r="251" spans="1:15" s="21" customFormat="1" ht="76.5" customHeight="1" x14ac:dyDescent="0.4">
      <c r="A251" s="33" t="s">
        <v>414</v>
      </c>
      <c r="B251" s="79" t="s">
        <v>415</v>
      </c>
      <c r="C251" s="64" t="s">
        <v>119</v>
      </c>
      <c r="D251" s="33" t="s">
        <v>413</v>
      </c>
      <c r="E251" s="33" t="s">
        <v>416</v>
      </c>
      <c r="F251" s="33"/>
      <c r="G251" s="33"/>
      <c r="H251" s="34">
        <f t="shared" si="7"/>
        <v>1255</v>
      </c>
      <c r="I251" s="76"/>
      <c r="J251" s="76"/>
      <c r="K251" s="76"/>
      <c r="L251" s="76"/>
      <c r="M251" s="36"/>
    </row>
    <row r="252" spans="1:15" s="21" customFormat="1" ht="42.5" customHeight="1" x14ac:dyDescent="0.4">
      <c r="A252" s="33" t="s">
        <v>417</v>
      </c>
      <c r="B252" s="79" t="s">
        <v>70</v>
      </c>
      <c r="C252" s="64" t="s">
        <v>119</v>
      </c>
      <c r="D252" s="33" t="s">
        <v>413</v>
      </c>
      <c r="E252" s="33" t="s">
        <v>416</v>
      </c>
      <c r="F252" s="33" t="s">
        <v>71</v>
      </c>
      <c r="G252" s="33"/>
      <c r="H252" s="34">
        <f t="shared" si="7"/>
        <v>1255</v>
      </c>
      <c r="I252" s="76"/>
      <c r="J252" s="76"/>
      <c r="K252" s="76"/>
      <c r="L252" s="76"/>
      <c r="M252" s="36"/>
    </row>
    <row r="253" spans="1:15" s="21" customFormat="1" ht="37" customHeight="1" x14ac:dyDescent="0.4">
      <c r="A253" s="33" t="s">
        <v>418</v>
      </c>
      <c r="B253" s="46" t="s">
        <v>73</v>
      </c>
      <c r="C253" s="64" t="s">
        <v>119</v>
      </c>
      <c r="D253" s="33" t="s">
        <v>413</v>
      </c>
      <c r="E253" s="33" t="s">
        <v>416</v>
      </c>
      <c r="F253" s="33" t="s">
        <v>74</v>
      </c>
      <c r="G253" s="33"/>
      <c r="H253" s="34">
        <f>H254-305</f>
        <v>1255</v>
      </c>
      <c r="I253" s="76"/>
      <c r="J253" s="76"/>
      <c r="K253" s="76"/>
      <c r="L253" s="76"/>
      <c r="M253" s="36"/>
    </row>
    <row r="254" spans="1:15" s="21" customFormat="1" ht="21" hidden="1" customHeight="1" x14ac:dyDescent="0.4">
      <c r="A254" s="33" t="s">
        <v>419</v>
      </c>
      <c r="B254" s="46" t="s">
        <v>56</v>
      </c>
      <c r="C254" s="64" t="s">
        <v>119</v>
      </c>
      <c r="D254" s="33" t="s">
        <v>413</v>
      </c>
      <c r="E254" s="33" t="s">
        <v>416</v>
      </c>
      <c r="F254" s="54" t="s">
        <v>74</v>
      </c>
      <c r="G254" s="54" t="s">
        <v>57</v>
      </c>
      <c r="H254" s="41">
        <f t="shared" si="7"/>
        <v>1560</v>
      </c>
      <c r="I254" s="76"/>
      <c r="J254" s="76"/>
      <c r="K254" s="76"/>
      <c r="L254" s="76"/>
      <c r="M254" s="36"/>
    </row>
    <row r="255" spans="1:15" s="21" customFormat="1" ht="20.25" hidden="1" customHeight="1" x14ac:dyDescent="0.4">
      <c r="A255" s="50" t="s">
        <v>420</v>
      </c>
      <c r="B255" s="58" t="s">
        <v>59</v>
      </c>
      <c r="C255" s="82" t="s">
        <v>119</v>
      </c>
      <c r="D255" s="50" t="s">
        <v>413</v>
      </c>
      <c r="E255" s="50" t="s">
        <v>416</v>
      </c>
      <c r="F255" s="57" t="s">
        <v>74</v>
      </c>
      <c r="G255" s="57" t="s">
        <v>60</v>
      </c>
      <c r="H255" s="59">
        <v>1560</v>
      </c>
      <c r="I255" s="76"/>
      <c r="J255" s="76"/>
      <c r="K255" s="76"/>
      <c r="L255" s="76"/>
      <c r="M255" s="36"/>
    </row>
    <row r="256" spans="1:15" s="101" customFormat="1" ht="72" customHeight="1" x14ac:dyDescent="0.4">
      <c r="A256" s="31" t="s">
        <v>421</v>
      </c>
      <c r="B256" s="81" t="s">
        <v>422</v>
      </c>
      <c r="C256" s="64" t="s">
        <v>119</v>
      </c>
      <c r="D256" s="33"/>
      <c r="E256" s="87"/>
      <c r="F256" s="33"/>
      <c r="G256" s="33"/>
      <c r="H256" s="34">
        <f>H257+H278+H288+H314</f>
        <v>10628.599999999999</v>
      </c>
      <c r="I256" s="35" t="e">
        <f>I258+I278+I288</f>
        <v>#REF!</v>
      </c>
      <c r="J256" s="35" t="e">
        <f>J258+J278+J288</f>
        <v>#REF!</v>
      </c>
      <c r="K256" s="35" t="e">
        <f>K258+K278+K288</f>
        <v>#REF!</v>
      </c>
      <c r="L256" s="35" t="e">
        <f>L258+L278+L288</f>
        <v>#REF!</v>
      </c>
      <c r="M256" s="36"/>
      <c r="O256" s="21"/>
    </row>
    <row r="257" spans="1:15" s="36" customFormat="1" ht="21" customHeight="1" x14ac:dyDescent="0.4">
      <c r="A257" s="33" t="s">
        <v>20</v>
      </c>
      <c r="B257" s="78" t="s">
        <v>21</v>
      </c>
      <c r="C257" s="64" t="s">
        <v>119</v>
      </c>
      <c r="D257" s="33" t="s">
        <v>22</v>
      </c>
      <c r="E257" s="87"/>
      <c r="F257" s="33"/>
      <c r="G257" s="33"/>
      <c r="H257" s="34">
        <f t="shared" ref="H257:L258" si="8">H258</f>
        <v>7546.9</v>
      </c>
      <c r="I257" s="80" t="e">
        <f t="shared" si="8"/>
        <v>#REF!</v>
      </c>
      <c r="J257" s="80" t="e">
        <f t="shared" si="8"/>
        <v>#REF!</v>
      </c>
      <c r="K257" s="80" t="e">
        <f t="shared" si="8"/>
        <v>#REF!</v>
      </c>
      <c r="L257" s="80" t="e">
        <f t="shared" si="8"/>
        <v>#REF!</v>
      </c>
      <c r="O257" s="101"/>
    </row>
    <row r="258" spans="1:15" s="62" customFormat="1" ht="22.5" customHeight="1" x14ac:dyDescent="0.4">
      <c r="A258" s="33" t="s">
        <v>23</v>
      </c>
      <c r="B258" s="78" t="s">
        <v>109</v>
      </c>
      <c r="C258" s="64" t="s">
        <v>119</v>
      </c>
      <c r="D258" s="33" t="s">
        <v>110</v>
      </c>
      <c r="E258" s="87"/>
      <c r="F258" s="33"/>
      <c r="G258" s="33"/>
      <c r="H258" s="34">
        <f>H259</f>
        <v>7546.9</v>
      </c>
      <c r="I258" s="89" t="e">
        <f t="shared" si="8"/>
        <v>#REF!</v>
      </c>
      <c r="J258" s="89" t="e">
        <f t="shared" si="8"/>
        <v>#REF!</v>
      </c>
      <c r="K258" s="89" t="e">
        <f t="shared" si="8"/>
        <v>#REF!</v>
      </c>
      <c r="L258" s="89" t="e">
        <f t="shared" si="8"/>
        <v>#REF!</v>
      </c>
      <c r="M258" s="36"/>
      <c r="O258" s="36"/>
    </row>
    <row r="259" spans="1:15" s="72" customFormat="1" ht="94.5" customHeight="1" x14ac:dyDescent="0.4">
      <c r="A259" s="33" t="s">
        <v>423</v>
      </c>
      <c r="B259" s="81" t="s">
        <v>424</v>
      </c>
      <c r="C259" s="64" t="s">
        <v>119</v>
      </c>
      <c r="D259" s="33" t="s">
        <v>110</v>
      </c>
      <c r="E259" s="87" t="s">
        <v>425</v>
      </c>
      <c r="F259" s="33"/>
      <c r="G259" s="33"/>
      <c r="H259" s="34">
        <f>H260+H265+H275</f>
        <v>7546.9</v>
      </c>
      <c r="I259" s="71" t="e">
        <f>I261</f>
        <v>#REF!</v>
      </c>
      <c r="J259" s="71" t="e">
        <f>J261</f>
        <v>#REF!</v>
      </c>
      <c r="K259" s="71" t="e">
        <f>K261</f>
        <v>#REF!</v>
      </c>
      <c r="L259" s="71" t="e">
        <f>L261</f>
        <v>#REF!</v>
      </c>
      <c r="M259" s="36"/>
      <c r="O259" s="62"/>
    </row>
    <row r="260" spans="1:15" s="72" customFormat="1" ht="40.5" customHeight="1" x14ac:dyDescent="0.4">
      <c r="A260" s="33"/>
      <c r="B260" s="81" t="s">
        <v>426</v>
      </c>
      <c r="C260" s="64" t="s">
        <v>119</v>
      </c>
      <c r="D260" s="33" t="s">
        <v>110</v>
      </c>
      <c r="E260" s="87" t="s">
        <v>425</v>
      </c>
      <c r="F260" s="33" t="s">
        <v>427</v>
      </c>
      <c r="G260" s="33"/>
      <c r="H260" s="34">
        <f>H261</f>
        <v>7219.7999999999993</v>
      </c>
      <c r="I260" s="71"/>
      <c r="J260" s="71"/>
      <c r="K260" s="71"/>
      <c r="L260" s="71"/>
      <c r="M260" s="36"/>
    </row>
    <row r="261" spans="1:15" s="102" customFormat="1" ht="20.25" customHeight="1" x14ac:dyDescent="0.4">
      <c r="A261" s="33" t="s">
        <v>131</v>
      </c>
      <c r="B261" s="46" t="s">
        <v>33</v>
      </c>
      <c r="C261" s="64" t="s">
        <v>119</v>
      </c>
      <c r="D261" s="33" t="s">
        <v>110</v>
      </c>
      <c r="E261" s="87" t="s">
        <v>425</v>
      </c>
      <c r="F261" s="33" t="s">
        <v>428</v>
      </c>
      <c r="G261" s="33"/>
      <c r="H261" s="34">
        <f>H262</f>
        <v>7219.7999999999993</v>
      </c>
      <c r="I261" s="71" t="e">
        <f>I262+I267+I272+#REF!</f>
        <v>#REF!</v>
      </c>
      <c r="J261" s="71" t="e">
        <f>J262+J267+J272+#REF!</f>
        <v>#REF!</v>
      </c>
      <c r="K261" s="71" t="e">
        <f>K262+K267+K272+#REF!</f>
        <v>#REF!</v>
      </c>
      <c r="L261" s="71" t="e">
        <f>L262+L267+L272+#REF!</f>
        <v>#REF!</v>
      </c>
      <c r="M261" s="36"/>
      <c r="O261" s="72"/>
    </row>
    <row r="262" spans="1:15" s="70" customFormat="1" ht="34.5" hidden="1" customHeight="1" x14ac:dyDescent="0.4">
      <c r="A262" s="54" t="s">
        <v>132</v>
      </c>
      <c r="B262" s="46" t="s">
        <v>36</v>
      </c>
      <c r="C262" s="64" t="s">
        <v>119</v>
      </c>
      <c r="D262" s="33" t="s">
        <v>110</v>
      </c>
      <c r="E262" s="87" t="s">
        <v>425</v>
      </c>
      <c r="F262" s="54" t="s">
        <v>428</v>
      </c>
      <c r="G262" s="54" t="s">
        <v>37</v>
      </c>
      <c r="H262" s="41">
        <f>SUM(H263:H264)</f>
        <v>7219.7999999999993</v>
      </c>
      <c r="I262" s="56">
        <f>SUM(I263:I264)</f>
        <v>570</v>
      </c>
      <c r="J262" s="56">
        <f>SUM(J263:J264)</f>
        <v>570</v>
      </c>
      <c r="K262" s="56">
        <f>SUM(K263:K264)</f>
        <v>1016</v>
      </c>
      <c r="L262" s="56">
        <f>SUM(L263:L264)</f>
        <v>570</v>
      </c>
      <c r="M262" s="36"/>
      <c r="O262" s="102"/>
    </row>
    <row r="263" spans="1:15" s="21" customFormat="1" ht="15.75" hidden="1" customHeight="1" x14ac:dyDescent="0.4">
      <c r="A263" s="57" t="s">
        <v>133</v>
      </c>
      <c r="B263" s="49" t="s">
        <v>39</v>
      </c>
      <c r="C263" s="82" t="s">
        <v>119</v>
      </c>
      <c r="D263" s="50" t="s">
        <v>110</v>
      </c>
      <c r="E263" s="88" t="s">
        <v>425</v>
      </c>
      <c r="F263" s="50" t="s">
        <v>428</v>
      </c>
      <c r="G263" s="57" t="s">
        <v>40</v>
      </c>
      <c r="H263" s="59">
        <v>5545.2</v>
      </c>
      <c r="I263" s="60">
        <v>452</v>
      </c>
      <c r="J263" s="60">
        <v>452</v>
      </c>
      <c r="K263" s="60">
        <f>454+351.6</f>
        <v>805.6</v>
      </c>
      <c r="L263" s="60">
        <v>452</v>
      </c>
      <c r="M263" s="36"/>
      <c r="O263" s="70"/>
    </row>
    <row r="264" spans="1:15" s="21" customFormat="1" ht="18" hidden="1" customHeight="1" x14ac:dyDescent="0.4">
      <c r="A264" s="57" t="s">
        <v>134</v>
      </c>
      <c r="B264" s="49" t="s">
        <v>42</v>
      </c>
      <c r="C264" s="82" t="s">
        <v>119</v>
      </c>
      <c r="D264" s="50" t="s">
        <v>110</v>
      </c>
      <c r="E264" s="88" t="s">
        <v>425</v>
      </c>
      <c r="F264" s="57" t="s">
        <v>428</v>
      </c>
      <c r="G264" s="57" t="s">
        <v>43</v>
      </c>
      <c r="H264" s="59">
        <v>1674.6</v>
      </c>
      <c r="I264" s="60">
        <v>118</v>
      </c>
      <c r="J264" s="60">
        <v>118</v>
      </c>
      <c r="K264" s="60">
        <f>118.3+92.1</f>
        <v>210.39999999999998</v>
      </c>
      <c r="L264" s="60">
        <v>118</v>
      </c>
      <c r="M264" s="36"/>
    </row>
    <row r="265" spans="1:15" s="21" customFormat="1" ht="39.5" customHeight="1" x14ac:dyDescent="0.4">
      <c r="A265" s="54" t="s">
        <v>429</v>
      </c>
      <c r="B265" s="37" t="s">
        <v>70</v>
      </c>
      <c r="C265" s="64" t="s">
        <v>119</v>
      </c>
      <c r="D265" s="33" t="s">
        <v>110</v>
      </c>
      <c r="E265" s="87" t="s">
        <v>425</v>
      </c>
      <c r="F265" s="33" t="s">
        <v>71</v>
      </c>
      <c r="G265" s="54"/>
      <c r="H265" s="41">
        <f>H266</f>
        <v>322.10000000000002</v>
      </c>
      <c r="I265" s="60"/>
      <c r="J265" s="60"/>
      <c r="K265" s="60"/>
      <c r="L265" s="60"/>
      <c r="M265" s="36"/>
    </row>
    <row r="266" spans="1:15" s="21" customFormat="1" ht="34.5" customHeight="1" x14ac:dyDescent="0.4">
      <c r="A266" s="54" t="s">
        <v>430</v>
      </c>
      <c r="B266" s="37" t="s">
        <v>73</v>
      </c>
      <c r="C266" s="64" t="s">
        <v>119</v>
      </c>
      <c r="D266" s="33" t="s">
        <v>110</v>
      </c>
      <c r="E266" s="87" t="s">
        <v>425</v>
      </c>
      <c r="F266" s="33" t="s">
        <v>74</v>
      </c>
      <c r="G266" s="54"/>
      <c r="H266" s="41">
        <f>H267+H272</f>
        <v>322.10000000000002</v>
      </c>
      <c r="I266" s="60"/>
      <c r="J266" s="60"/>
      <c r="K266" s="60"/>
      <c r="L266" s="60"/>
      <c r="M266" s="36"/>
    </row>
    <row r="267" spans="1:15" s="62" customFormat="1" ht="18" hidden="1" customHeight="1" x14ac:dyDescent="0.4">
      <c r="A267" s="54" t="s">
        <v>429</v>
      </c>
      <c r="B267" s="46" t="s">
        <v>56</v>
      </c>
      <c r="C267" s="64" t="s">
        <v>119</v>
      </c>
      <c r="D267" s="33" t="s">
        <v>110</v>
      </c>
      <c r="E267" s="87" t="s">
        <v>425</v>
      </c>
      <c r="F267" s="33" t="s">
        <v>74</v>
      </c>
      <c r="G267" s="54" t="s">
        <v>57</v>
      </c>
      <c r="H267" s="41">
        <f>H268+H269+H270+H271</f>
        <v>268.10000000000002</v>
      </c>
      <c r="I267" s="56">
        <f>SUM(I268:I271)</f>
        <v>48.5</v>
      </c>
      <c r="J267" s="56">
        <f>SUM(J268:J271)</f>
        <v>28.9</v>
      </c>
      <c r="K267" s="56">
        <f>SUM(K268:K271)</f>
        <v>4</v>
      </c>
      <c r="L267" s="56">
        <f>SUM(L268:L271)</f>
        <v>4</v>
      </c>
      <c r="M267" s="36"/>
      <c r="O267" s="21"/>
    </row>
    <row r="268" spans="1:15" s="16" customFormat="1" ht="18.75" hidden="1" customHeight="1" x14ac:dyDescent="0.4">
      <c r="A268" s="57" t="s">
        <v>431</v>
      </c>
      <c r="B268" s="58" t="s">
        <v>77</v>
      </c>
      <c r="C268" s="82" t="s">
        <v>119</v>
      </c>
      <c r="D268" s="50" t="s">
        <v>110</v>
      </c>
      <c r="E268" s="88" t="s">
        <v>425</v>
      </c>
      <c r="F268" s="50" t="s">
        <v>74</v>
      </c>
      <c r="G268" s="57" t="s">
        <v>78</v>
      </c>
      <c r="H268" s="59">
        <v>27.4</v>
      </c>
      <c r="I268" s="60">
        <f>4+1</f>
        <v>5</v>
      </c>
      <c r="J268" s="60">
        <f>4+6.9</f>
        <v>10.9</v>
      </c>
      <c r="K268" s="60">
        <v>4</v>
      </c>
      <c r="L268" s="60">
        <v>4</v>
      </c>
      <c r="M268" s="36"/>
      <c r="O268" s="62"/>
    </row>
    <row r="269" spans="1:15" s="16" customFormat="1" ht="18.75" hidden="1" customHeight="1" x14ac:dyDescent="0.4">
      <c r="A269" s="57" t="s">
        <v>432</v>
      </c>
      <c r="B269" s="58" t="s">
        <v>433</v>
      </c>
      <c r="C269" s="82" t="s">
        <v>119</v>
      </c>
      <c r="D269" s="50" t="s">
        <v>110</v>
      </c>
      <c r="E269" s="88" t="s">
        <v>425</v>
      </c>
      <c r="F269" s="50" t="s">
        <v>74</v>
      </c>
      <c r="G269" s="57" t="s">
        <v>142</v>
      </c>
      <c r="H269" s="59">
        <v>0.7</v>
      </c>
      <c r="I269" s="60">
        <v>0.5</v>
      </c>
      <c r="J269" s="60">
        <v>0</v>
      </c>
      <c r="K269" s="60">
        <v>0</v>
      </c>
      <c r="L269" s="60">
        <v>0</v>
      </c>
      <c r="M269" s="36"/>
    </row>
    <row r="270" spans="1:15" s="16" customFormat="1" ht="18.75" hidden="1" customHeight="1" x14ac:dyDescent="0.4">
      <c r="A270" s="57" t="s">
        <v>434</v>
      </c>
      <c r="B270" s="58" t="s">
        <v>83</v>
      </c>
      <c r="C270" s="82" t="s">
        <v>119</v>
      </c>
      <c r="D270" s="50" t="s">
        <v>110</v>
      </c>
      <c r="E270" s="57" t="s">
        <v>425</v>
      </c>
      <c r="F270" s="88" t="s">
        <v>74</v>
      </c>
      <c r="G270" s="57" t="s">
        <v>84</v>
      </c>
      <c r="H270" s="59">
        <v>140</v>
      </c>
      <c r="I270" s="60"/>
      <c r="J270" s="60"/>
      <c r="K270" s="60"/>
      <c r="L270" s="60"/>
      <c r="M270" s="36"/>
    </row>
    <row r="271" spans="1:15" s="16" customFormat="1" ht="18.75" hidden="1" customHeight="1" x14ac:dyDescent="0.4">
      <c r="A271" s="57" t="s">
        <v>434</v>
      </c>
      <c r="B271" s="58" t="s">
        <v>59</v>
      </c>
      <c r="C271" s="82" t="s">
        <v>119</v>
      </c>
      <c r="D271" s="50" t="s">
        <v>110</v>
      </c>
      <c r="E271" s="88" t="s">
        <v>425</v>
      </c>
      <c r="F271" s="50" t="s">
        <v>74</v>
      </c>
      <c r="G271" s="57" t="s">
        <v>60</v>
      </c>
      <c r="H271" s="59">
        <v>100</v>
      </c>
      <c r="I271" s="60">
        <f>20+23</f>
        <v>43</v>
      </c>
      <c r="J271" s="60">
        <f>20-2</f>
        <v>18</v>
      </c>
      <c r="K271" s="60">
        <f>20-20</f>
        <v>0</v>
      </c>
      <c r="L271" s="60">
        <f>40-20-20</f>
        <v>0</v>
      </c>
      <c r="M271" s="36"/>
    </row>
    <row r="272" spans="1:15" s="62" customFormat="1" ht="18.75" hidden="1" customHeight="1" x14ac:dyDescent="0.4">
      <c r="A272" s="54" t="s">
        <v>430</v>
      </c>
      <c r="B272" s="46" t="s">
        <v>87</v>
      </c>
      <c r="C272" s="64" t="s">
        <v>119</v>
      </c>
      <c r="D272" s="33" t="s">
        <v>110</v>
      </c>
      <c r="E272" s="87" t="s">
        <v>425</v>
      </c>
      <c r="F272" s="54" t="s">
        <v>74</v>
      </c>
      <c r="G272" s="54" t="s">
        <v>88</v>
      </c>
      <c r="H272" s="41">
        <f>H274+H273</f>
        <v>54</v>
      </c>
      <c r="I272" s="56">
        <f>I274+I273</f>
        <v>42.6</v>
      </c>
      <c r="J272" s="56">
        <f>J274+J273</f>
        <v>9.9999999999999645E-2</v>
      </c>
      <c r="K272" s="56">
        <f>K274+K273</f>
        <v>5</v>
      </c>
      <c r="L272" s="56">
        <f>L274+L273</f>
        <v>5</v>
      </c>
      <c r="M272" s="36"/>
      <c r="O272" s="16"/>
    </row>
    <row r="273" spans="1:15" s="62" customFormat="1" ht="17.25" hidden="1" customHeight="1" x14ac:dyDescent="0.4">
      <c r="A273" s="57" t="s">
        <v>435</v>
      </c>
      <c r="B273" s="58" t="s">
        <v>209</v>
      </c>
      <c r="C273" s="82" t="s">
        <v>119</v>
      </c>
      <c r="D273" s="50" t="s">
        <v>110</v>
      </c>
      <c r="E273" s="88" t="s">
        <v>425</v>
      </c>
      <c r="F273" s="57" t="s">
        <v>74</v>
      </c>
      <c r="G273" s="57" t="s">
        <v>91</v>
      </c>
      <c r="H273" s="59">
        <v>30</v>
      </c>
      <c r="I273" s="53">
        <f>50-3-9.4</f>
        <v>37.6</v>
      </c>
      <c r="J273" s="53">
        <v>0</v>
      </c>
      <c r="K273" s="53">
        <v>0</v>
      </c>
      <c r="L273" s="53">
        <v>0</v>
      </c>
      <c r="M273" s="36"/>
    </row>
    <row r="274" spans="1:15" s="16" customFormat="1" ht="16.5" hidden="1" customHeight="1" x14ac:dyDescent="0.4">
      <c r="A274" s="57" t="s">
        <v>436</v>
      </c>
      <c r="B274" s="58" t="s">
        <v>93</v>
      </c>
      <c r="C274" s="82" t="s">
        <v>119</v>
      </c>
      <c r="D274" s="50" t="s">
        <v>110</v>
      </c>
      <c r="E274" s="88" t="s">
        <v>425</v>
      </c>
      <c r="F274" s="57" t="s">
        <v>74</v>
      </c>
      <c r="G274" s="57" t="s">
        <v>94</v>
      </c>
      <c r="H274" s="59">
        <v>24</v>
      </c>
      <c r="I274" s="60">
        <v>5</v>
      </c>
      <c r="J274" s="60">
        <f>5-4.9</f>
        <v>9.9999999999999645E-2</v>
      </c>
      <c r="K274" s="60">
        <v>5</v>
      </c>
      <c r="L274" s="60">
        <v>5</v>
      </c>
      <c r="M274" s="36"/>
      <c r="O274" s="62"/>
    </row>
    <row r="275" spans="1:15" s="16" customFormat="1" ht="23" customHeight="1" x14ac:dyDescent="0.4">
      <c r="A275" s="33" t="s">
        <v>437</v>
      </c>
      <c r="B275" s="78" t="s">
        <v>105</v>
      </c>
      <c r="C275" s="64" t="s">
        <v>119</v>
      </c>
      <c r="D275" s="33" t="s">
        <v>110</v>
      </c>
      <c r="E275" s="87" t="s">
        <v>425</v>
      </c>
      <c r="F275" s="33" t="s">
        <v>97</v>
      </c>
      <c r="G275" s="33"/>
      <c r="H275" s="34">
        <f>H276+H277</f>
        <v>5</v>
      </c>
      <c r="I275" s="76"/>
      <c r="J275" s="76"/>
      <c r="K275" s="76"/>
      <c r="L275" s="76"/>
      <c r="M275" s="36"/>
    </row>
    <row r="276" spans="1:15" s="16" customFormat="1" ht="38.5" customHeight="1" x14ac:dyDescent="0.4">
      <c r="A276" s="33" t="s">
        <v>435</v>
      </c>
      <c r="B276" s="78" t="s">
        <v>99</v>
      </c>
      <c r="C276" s="64" t="s">
        <v>119</v>
      </c>
      <c r="D276" s="33" t="s">
        <v>110</v>
      </c>
      <c r="E276" s="87" t="s">
        <v>425</v>
      </c>
      <c r="F276" s="33" t="s">
        <v>100</v>
      </c>
      <c r="G276" s="33"/>
      <c r="H276" s="34">
        <v>4.9000000000000004</v>
      </c>
      <c r="I276" s="76"/>
      <c r="J276" s="76"/>
      <c r="K276" s="76"/>
      <c r="L276" s="76"/>
      <c r="M276" s="36"/>
    </row>
    <row r="277" spans="1:15" s="16" customFormat="1" ht="22.25" customHeight="1" x14ac:dyDescent="0.4">
      <c r="A277" s="33" t="s">
        <v>436</v>
      </c>
      <c r="B277" s="46" t="s">
        <v>105</v>
      </c>
      <c r="C277" s="64" t="s">
        <v>119</v>
      </c>
      <c r="D277" s="33" t="s">
        <v>110</v>
      </c>
      <c r="E277" s="87" t="s">
        <v>425</v>
      </c>
      <c r="F277" s="33" t="s">
        <v>106</v>
      </c>
      <c r="G277" s="33"/>
      <c r="H277" s="34">
        <v>0.1</v>
      </c>
      <c r="I277" s="76"/>
      <c r="J277" s="76"/>
      <c r="K277" s="76"/>
      <c r="L277" s="76"/>
      <c r="M277" s="36"/>
    </row>
    <row r="278" spans="1:15" s="16" customFormat="1" ht="21.75" customHeight="1" x14ac:dyDescent="0.4">
      <c r="A278" s="33" t="s">
        <v>156</v>
      </c>
      <c r="B278" s="78" t="s">
        <v>438</v>
      </c>
      <c r="C278" s="64" t="s">
        <v>119</v>
      </c>
      <c r="D278" s="33" t="s">
        <v>439</v>
      </c>
      <c r="E278" s="87"/>
      <c r="F278" s="33"/>
      <c r="G278" s="33"/>
      <c r="H278" s="34">
        <f>H280</f>
        <v>216</v>
      </c>
      <c r="I278" s="89" t="e">
        <f>I280</f>
        <v>#REF!</v>
      </c>
      <c r="J278" s="89" t="e">
        <f>J280</f>
        <v>#REF!</v>
      </c>
      <c r="K278" s="89" t="e">
        <f>K280</f>
        <v>#REF!</v>
      </c>
      <c r="L278" s="89" t="e">
        <f>L280</f>
        <v>#REF!</v>
      </c>
      <c r="M278" s="36"/>
    </row>
    <row r="279" spans="1:15" s="16" customFormat="1" ht="33.75" customHeight="1" x14ac:dyDescent="0.4">
      <c r="A279" s="33" t="s">
        <v>440</v>
      </c>
      <c r="B279" s="78" t="s">
        <v>441</v>
      </c>
      <c r="C279" s="64" t="s">
        <v>119</v>
      </c>
      <c r="D279" s="33" t="s">
        <v>442</v>
      </c>
      <c r="E279" s="87"/>
      <c r="F279" s="33"/>
      <c r="G279" s="33"/>
      <c r="H279" s="34">
        <f>H280</f>
        <v>216</v>
      </c>
      <c r="I279" s="71" t="e">
        <f t="shared" ref="I279:L280" si="9">I280</f>
        <v>#REF!</v>
      </c>
      <c r="J279" s="71" t="e">
        <f t="shared" si="9"/>
        <v>#REF!</v>
      </c>
      <c r="K279" s="71" t="e">
        <f t="shared" si="9"/>
        <v>#REF!</v>
      </c>
      <c r="L279" s="71" t="e">
        <f t="shared" si="9"/>
        <v>#REF!</v>
      </c>
      <c r="M279" s="36"/>
    </row>
    <row r="280" spans="1:15" s="16" customFormat="1" ht="70.75" customHeight="1" x14ac:dyDescent="0.4">
      <c r="A280" s="33" t="s">
        <v>162</v>
      </c>
      <c r="B280" s="78" t="s">
        <v>443</v>
      </c>
      <c r="C280" s="64" t="s">
        <v>119</v>
      </c>
      <c r="D280" s="33" t="s">
        <v>442</v>
      </c>
      <c r="E280" s="87" t="s">
        <v>444</v>
      </c>
      <c r="F280" s="33"/>
      <c r="G280" s="33"/>
      <c r="H280" s="34">
        <f>H281</f>
        <v>216</v>
      </c>
      <c r="I280" s="71" t="e">
        <f t="shared" si="9"/>
        <v>#REF!</v>
      </c>
      <c r="J280" s="71" t="e">
        <f t="shared" si="9"/>
        <v>#REF!</v>
      </c>
      <c r="K280" s="71" t="e">
        <f t="shared" si="9"/>
        <v>#REF!</v>
      </c>
      <c r="L280" s="71" t="e">
        <f t="shared" si="9"/>
        <v>#REF!</v>
      </c>
      <c r="M280" s="36"/>
    </row>
    <row r="281" spans="1:15" s="16" customFormat="1" ht="37" customHeight="1" x14ac:dyDescent="0.4">
      <c r="A281" s="33" t="s">
        <v>165</v>
      </c>
      <c r="B281" s="46" t="s">
        <v>70</v>
      </c>
      <c r="C281" s="64" t="s">
        <v>119</v>
      </c>
      <c r="D281" s="33" t="s">
        <v>442</v>
      </c>
      <c r="E281" s="87" t="s">
        <v>445</v>
      </c>
      <c r="F281" s="33" t="s">
        <v>71</v>
      </c>
      <c r="G281" s="33"/>
      <c r="H281" s="34">
        <f>H283+H285+H286</f>
        <v>216</v>
      </c>
      <c r="I281" s="71" t="e">
        <f>I283+#REF!+I286</f>
        <v>#REF!</v>
      </c>
      <c r="J281" s="71" t="e">
        <f>J283+#REF!+J286</f>
        <v>#REF!</v>
      </c>
      <c r="K281" s="71" t="e">
        <f>K283+#REF!+K286</f>
        <v>#REF!</v>
      </c>
      <c r="L281" s="71" t="e">
        <f>L283+#REF!+L286</f>
        <v>#REF!</v>
      </c>
      <c r="M281" s="36"/>
    </row>
    <row r="282" spans="1:15" s="16" customFormat="1" ht="37" customHeight="1" x14ac:dyDescent="0.4">
      <c r="A282" s="33" t="s">
        <v>446</v>
      </c>
      <c r="B282" s="46" t="s">
        <v>73</v>
      </c>
      <c r="C282" s="64" t="s">
        <v>119</v>
      </c>
      <c r="D282" s="33" t="s">
        <v>442</v>
      </c>
      <c r="E282" s="87" t="s">
        <v>445</v>
      </c>
      <c r="F282" s="33" t="s">
        <v>74</v>
      </c>
      <c r="G282" s="33"/>
      <c r="H282" s="34">
        <f>H283+H285+H286</f>
        <v>216</v>
      </c>
      <c r="I282" s="71"/>
      <c r="J282" s="71"/>
      <c r="K282" s="71"/>
      <c r="L282" s="71"/>
      <c r="M282" s="36"/>
    </row>
    <row r="283" spans="1:15" s="16" customFormat="1" ht="18" hidden="1" customHeight="1" x14ac:dyDescent="0.4">
      <c r="A283" s="33" t="s">
        <v>447</v>
      </c>
      <c r="B283" s="46" t="s">
        <v>56</v>
      </c>
      <c r="C283" s="64" t="s">
        <v>119</v>
      </c>
      <c r="D283" s="33" t="s">
        <v>442</v>
      </c>
      <c r="E283" s="87" t="s">
        <v>445</v>
      </c>
      <c r="F283" s="33" t="s">
        <v>74</v>
      </c>
      <c r="G283" s="33" t="s">
        <v>57</v>
      </c>
      <c r="H283" s="34">
        <f>H284</f>
        <v>150</v>
      </c>
      <c r="I283" s="71">
        <f>I284</f>
        <v>0</v>
      </c>
      <c r="J283" s="71">
        <f>J284</f>
        <v>0</v>
      </c>
      <c r="K283" s="71">
        <f>K284</f>
        <v>15</v>
      </c>
      <c r="L283" s="71">
        <f>L284</f>
        <v>0</v>
      </c>
      <c r="M283" s="36"/>
    </row>
    <row r="284" spans="1:15" s="16" customFormat="1" ht="18" hidden="1" customHeight="1" x14ac:dyDescent="0.4">
      <c r="A284" s="50" t="s">
        <v>447</v>
      </c>
      <c r="B284" s="58" t="s">
        <v>59</v>
      </c>
      <c r="C284" s="82" t="s">
        <v>119</v>
      </c>
      <c r="D284" s="50" t="s">
        <v>442</v>
      </c>
      <c r="E284" s="88" t="s">
        <v>445</v>
      </c>
      <c r="F284" s="50" t="s">
        <v>74</v>
      </c>
      <c r="G284" s="50" t="s">
        <v>60</v>
      </c>
      <c r="H284" s="51">
        <v>150</v>
      </c>
      <c r="I284" s="52">
        <v>0</v>
      </c>
      <c r="J284" s="52">
        <v>0</v>
      </c>
      <c r="K284" s="52">
        <v>15</v>
      </c>
      <c r="L284" s="52">
        <v>0</v>
      </c>
      <c r="M284" s="36"/>
    </row>
    <row r="285" spans="1:15" s="16" customFormat="1" ht="18" hidden="1" customHeight="1" x14ac:dyDescent="0.4">
      <c r="A285" s="50" t="s">
        <v>448</v>
      </c>
      <c r="B285" s="46" t="s">
        <v>102</v>
      </c>
      <c r="C285" s="64" t="s">
        <v>119</v>
      </c>
      <c r="D285" s="33" t="s">
        <v>442</v>
      </c>
      <c r="E285" s="87" t="s">
        <v>445</v>
      </c>
      <c r="F285" s="33" t="s">
        <v>74</v>
      </c>
      <c r="G285" s="33" t="s">
        <v>103</v>
      </c>
      <c r="H285" s="34">
        <v>61</v>
      </c>
      <c r="I285" s="52"/>
      <c r="J285" s="52"/>
      <c r="K285" s="52"/>
      <c r="L285" s="52"/>
      <c r="M285" s="36"/>
    </row>
    <row r="286" spans="1:15" s="16" customFormat="1" ht="18" hidden="1" customHeight="1" x14ac:dyDescent="0.4">
      <c r="A286" s="33" t="s">
        <v>449</v>
      </c>
      <c r="B286" s="46" t="s">
        <v>87</v>
      </c>
      <c r="C286" s="64" t="s">
        <v>119</v>
      </c>
      <c r="D286" s="33" t="s">
        <v>442</v>
      </c>
      <c r="E286" s="88" t="s">
        <v>445</v>
      </c>
      <c r="F286" s="33" t="s">
        <v>74</v>
      </c>
      <c r="G286" s="33" t="s">
        <v>88</v>
      </c>
      <c r="H286" s="34">
        <f>SUM(H287)</f>
        <v>5</v>
      </c>
      <c r="I286" s="71" t="e">
        <f>#REF!+I287</f>
        <v>#REF!</v>
      </c>
      <c r="J286" s="71" t="e">
        <f>#REF!+J287</f>
        <v>#REF!</v>
      </c>
      <c r="K286" s="71" t="e">
        <f>#REF!+K287</f>
        <v>#REF!</v>
      </c>
      <c r="L286" s="71" t="e">
        <f>#REF!+L287</f>
        <v>#REF!</v>
      </c>
      <c r="M286" s="36"/>
    </row>
    <row r="287" spans="1:15" s="16" customFormat="1" ht="22.5" hidden="1" customHeight="1" x14ac:dyDescent="0.4">
      <c r="A287" s="50" t="s">
        <v>450</v>
      </c>
      <c r="B287" s="58" t="s">
        <v>93</v>
      </c>
      <c r="C287" s="82" t="s">
        <v>119</v>
      </c>
      <c r="D287" s="50" t="s">
        <v>442</v>
      </c>
      <c r="E287" s="88" t="s">
        <v>445</v>
      </c>
      <c r="F287" s="50" t="s">
        <v>74</v>
      </c>
      <c r="G287" s="50" t="s">
        <v>94</v>
      </c>
      <c r="H287" s="51">
        <v>5</v>
      </c>
      <c r="I287" s="76">
        <v>0</v>
      </c>
      <c r="J287" s="76">
        <f>5+26</f>
        <v>31</v>
      </c>
      <c r="K287" s="76">
        <v>0</v>
      </c>
      <c r="L287" s="76">
        <v>0</v>
      </c>
      <c r="M287" s="36"/>
    </row>
    <row r="288" spans="1:15" s="16" customFormat="1" ht="20.25" customHeight="1" x14ac:dyDescent="0.4">
      <c r="A288" s="33" t="s">
        <v>12</v>
      </c>
      <c r="B288" s="78" t="s">
        <v>451</v>
      </c>
      <c r="C288" s="64" t="s">
        <v>119</v>
      </c>
      <c r="D288" s="33" t="s">
        <v>337</v>
      </c>
      <c r="E288" s="87"/>
      <c r="F288" s="33"/>
      <c r="G288" s="33"/>
      <c r="H288" s="34">
        <f>H289+H298</f>
        <v>836.4</v>
      </c>
      <c r="I288" s="89" t="e">
        <f t="shared" ref="I288:L290" si="10">I289</f>
        <v>#REF!</v>
      </c>
      <c r="J288" s="89" t="e">
        <f t="shared" si="10"/>
        <v>#REF!</v>
      </c>
      <c r="K288" s="89" t="e">
        <f t="shared" si="10"/>
        <v>#REF!</v>
      </c>
      <c r="L288" s="89" t="e">
        <f t="shared" si="10"/>
        <v>#REF!</v>
      </c>
      <c r="M288" s="36"/>
    </row>
    <row r="289" spans="1:13" s="16" customFormat="1" ht="26" customHeight="1" x14ac:dyDescent="0.4">
      <c r="A289" s="33" t="s">
        <v>452</v>
      </c>
      <c r="B289" s="78" t="s">
        <v>453</v>
      </c>
      <c r="C289" s="64" t="s">
        <v>119</v>
      </c>
      <c r="D289" s="33" t="s">
        <v>454</v>
      </c>
      <c r="E289" s="87"/>
      <c r="F289" s="50"/>
      <c r="G289" s="50"/>
      <c r="H289" s="34">
        <f>H290</f>
        <v>667</v>
      </c>
      <c r="I289" s="71" t="e">
        <f t="shared" si="10"/>
        <v>#REF!</v>
      </c>
      <c r="J289" s="71" t="e">
        <f t="shared" si="10"/>
        <v>#REF!</v>
      </c>
      <c r="K289" s="71" t="e">
        <f t="shared" si="10"/>
        <v>#REF!</v>
      </c>
      <c r="L289" s="71" t="e">
        <f t="shared" si="10"/>
        <v>#REF!</v>
      </c>
      <c r="M289" s="36"/>
    </row>
    <row r="290" spans="1:13" s="16" customFormat="1" ht="92" customHeight="1" x14ac:dyDescent="0.4">
      <c r="A290" s="33" t="s">
        <v>173</v>
      </c>
      <c r="B290" s="78" t="s">
        <v>455</v>
      </c>
      <c r="C290" s="64" t="s">
        <v>119</v>
      </c>
      <c r="D290" s="33" t="s">
        <v>454</v>
      </c>
      <c r="E290" s="33" t="s">
        <v>456</v>
      </c>
      <c r="F290" s="33"/>
      <c r="G290" s="33"/>
      <c r="H290" s="34">
        <f>H291</f>
        <v>667</v>
      </c>
      <c r="I290" s="71" t="e">
        <f t="shared" si="10"/>
        <v>#REF!</v>
      </c>
      <c r="J290" s="71" t="e">
        <f t="shared" si="10"/>
        <v>#REF!</v>
      </c>
      <c r="K290" s="71" t="e">
        <f t="shared" si="10"/>
        <v>#REF!</v>
      </c>
      <c r="L290" s="71" t="e">
        <f t="shared" si="10"/>
        <v>#REF!</v>
      </c>
      <c r="M290" s="36"/>
    </row>
    <row r="291" spans="1:13" s="16" customFormat="1" ht="37.5" customHeight="1" x14ac:dyDescent="0.4">
      <c r="A291" s="54" t="s">
        <v>457</v>
      </c>
      <c r="B291" s="46" t="s">
        <v>70</v>
      </c>
      <c r="C291" s="64" t="s">
        <v>119</v>
      </c>
      <c r="D291" s="33" t="s">
        <v>454</v>
      </c>
      <c r="E291" s="33" t="s">
        <v>456</v>
      </c>
      <c r="F291" s="33" t="s">
        <v>71</v>
      </c>
      <c r="G291" s="33"/>
      <c r="H291" s="34">
        <f>H292</f>
        <v>667</v>
      </c>
      <c r="I291" s="71" t="e">
        <f>I293+I295</f>
        <v>#REF!</v>
      </c>
      <c r="J291" s="71" t="e">
        <f>J293+J295</f>
        <v>#REF!</v>
      </c>
      <c r="K291" s="71" t="e">
        <f>K293+K295</f>
        <v>#REF!</v>
      </c>
      <c r="L291" s="71" t="e">
        <f>L293+L295</f>
        <v>#REF!</v>
      </c>
      <c r="M291" s="36"/>
    </row>
    <row r="292" spans="1:13" s="16" customFormat="1" ht="37.5" customHeight="1" x14ac:dyDescent="0.4">
      <c r="A292" s="54" t="s">
        <v>458</v>
      </c>
      <c r="B292" s="46" t="s">
        <v>73</v>
      </c>
      <c r="C292" s="64" t="s">
        <v>119</v>
      </c>
      <c r="D292" s="33" t="s">
        <v>454</v>
      </c>
      <c r="E292" s="33" t="s">
        <v>456</v>
      </c>
      <c r="F292" s="33" t="s">
        <v>74</v>
      </c>
      <c r="G292" s="33"/>
      <c r="H292" s="34">
        <v>667</v>
      </c>
      <c r="I292" s="71"/>
      <c r="J292" s="71"/>
      <c r="K292" s="71"/>
      <c r="L292" s="71"/>
      <c r="M292" s="36"/>
    </row>
    <row r="293" spans="1:13" s="16" customFormat="1" ht="17.25" hidden="1" customHeight="1" x14ac:dyDescent="0.4">
      <c r="A293" s="54" t="s">
        <v>459</v>
      </c>
      <c r="B293" s="46" t="s">
        <v>56</v>
      </c>
      <c r="C293" s="64" t="s">
        <v>119</v>
      </c>
      <c r="D293" s="33" t="s">
        <v>454</v>
      </c>
      <c r="E293" s="33" t="s">
        <v>456</v>
      </c>
      <c r="F293" s="54" t="s">
        <v>74</v>
      </c>
      <c r="G293" s="54" t="s">
        <v>57</v>
      </c>
      <c r="H293" s="41">
        <f>H294</f>
        <v>300</v>
      </c>
      <c r="I293" s="56" t="e">
        <f>#REF!+I294</f>
        <v>#REF!</v>
      </c>
      <c r="J293" s="56" t="e">
        <f>#REF!+J294</f>
        <v>#REF!</v>
      </c>
      <c r="K293" s="56" t="e">
        <f>#REF!+K294</f>
        <v>#REF!</v>
      </c>
      <c r="L293" s="56" t="e">
        <f>#REF!+L294</f>
        <v>#REF!</v>
      </c>
      <c r="M293" s="36"/>
    </row>
    <row r="294" spans="1:13" s="16" customFormat="1" ht="17.25" hidden="1" customHeight="1" x14ac:dyDescent="0.4">
      <c r="A294" s="57" t="s">
        <v>460</v>
      </c>
      <c r="B294" s="58" t="s">
        <v>59</v>
      </c>
      <c r="C294" s="82" t="s">
        <v>119</v>
      </c>
      <c r="D294" s="50" t="s">
        <v>454</v>
      </c>
      <c r="E294" s="50" t="s">
        <v>456</v>
      </c>
      <c r="F294" s="57" t="s">
        <v>74</v>
      </c>
      <c r="G294" s="57" t="s">
        <v>60</v>
      </c>
      <c r="H294" s="59">
        <v>300</v>
      </c>
      <c r="I294" s="76">
        <f>26-10</f>
        <v>16</v>
      </c>
      <c r="J294" s="76">
        <f>53+174-37</f>
        <v>190</v>
      </c>
      <c r="K294" s="76">
        <v>13</v>
      </c>
      <c r="L294" s="76">
        <v>8</v>
      </c>
      <c r="M294" s="36"/>
    </row>
    <row r="295" spans="1:13" s="16" customFormat="1" ht="17.25" hidden="1" customHeight="1" x14ac:dyDescent="0.4">
      <c r="A295" s="54" t="s">
        <v>461</v>
      </c>
      <c r="B295" s="46" t="s">
        <v>102</v>
      </c>
      <c r="C295" s="64" t="s">
        <v>119</v>
      </c>
      <c r="D295" s="33" t="s">
        <v>454</v>
      </c>
      <c r="E295" s="33" t="s">
        <v>456</v>
      </c>
      <c r="F295" s="54" t="s">
        <v>74</v>
      </c>
      <c r="G295" s="33" t="s">
        <v>103</v>
      </c>
      <c r="H295" s="41">
        <v>395.8</v>
      </c>
      <c r="I295" s="77">
        <v>10</v>
      </c>
      <c r="J295" s="77">
        <f>10+1</f>
        <v>11</v>
      </c>
      <c r="K295" s="77">
        <v>4</v>
      </c>
      <c r="L295" s="77">
        <f>5-1-4</f>
        <v>0</v>
      </c>
      <c r="M295" s="36"/>
    </row>
    <row r="296" spans="1:13" s="16" customFormat="1" ht="17.25" hidden="1" customHeight="1" x14ac:dyDescent="0.4">
      <c r="A296" s="54" t="s">
        <v>462</v>
      </c>
      <c r="B296" s="46" t="s">
        <v>87</v>
      </c>
      <c r="C296" s="64" t="s">
        <v>119</v>
      </c>
      <c r="D296" s="33" t="s">
        <v>454</v>
      </c>
      <c r="E296" s="33" t="s">
        <v>456</v>
      </c>
      <c r="F296" s="33" t="s">
        <v>74</v>
      </c>
      <c r="G296" s="33" t="s">
        <v>88</v>
      </c>
      <c r="H296" s="34">
        <f>H297</f>
        <v>5</v>
      </c>
      <c r="I296" s="77"/>
      <c r="J296" s="77"/>
      <c r="K296" s="77"/>
      <c r="L296" s="77"/>
      <c r="M296" s="36"/>
    </row>
    <row r="297" spans="1:13" s="16" customFormat="1" ht="17.25" hidden="1" customHeight="1" x14ac:dyDescent="0.4">
      <c r="A297" s="57" t="s">
        <v>463</v>
      </c>
      <c r="B297" s="58" t="s">
        <v>93</v>
      </c>
      <c r="C297" s="82" t="s">
        <v>119</v>
      </c>
      <c r="D297" s="50" t="s">
        <v>454</v>
      </c>
      <c r="E297" s="50" t="s">
        <v>456</v>
      </c>
      <c r="F297" s="50" t="s">
        <v>74</v>
      </c>
      <c r="G297" s="50" t="s">
        <v>94</v>
      </c>
      <c r="H297" s="51">
        <v>5</v>
      </c>
      <c r="I297" s="77"/>
      <c r="J297" s="77"/>
      <c r="K297" s="77"/>
      <c r="L297" s="77"/>
      <c r="M297" s="36"/>
    </row>
    <row r="298" spans="1:13" s="16" customFormat="1" ht="23.5" customHeight="1" x14ac:dyDescent="0.4">
      <c r="A298" s="33" t="s">
        <v>183</v>
      </c>
      <c r="B298" s="78" t="s">
        <v>350</v>
      </c>
      <c r="C298" s="64" t="s">
        <v>119</v>
      </c>
      <c r="D298" s="33" t="s">
        <v>351</v>
      </c>
      <c r="E298" s="33"/>
      <c r="F298" s="33"/>
      <c r="G298" s="33"/>
      <c r="H298" s="34">
        <f>H299+H305+H308</f>
        <v>169.4</v>
      </c>
      <c r="I298" s="77"/>
      <c r="J298" s="77"/>
      <c r="K298" s="77"/>
      <c r="L298" s="77"/>
      <c r="M298" s="36"/>
    </row>
    <row r="299" spans="1:13" s="16" customFormat="1" ht="91" customHeight="1" x14ac:dyDescent="0.4">
      <c r="A299" s="33" t="s">
        <v>186</v>
      </c>
      <c r="B299" s="78" t="s">
        <v>464</v>
      </c>
      <c r="C299" s="64" t="s">
        <v>119</v>
      </c>
      <c r="D299" s="33" t="s">
        <v>351</v>
      </c>
      <c r="E299" s="33" t="s">
        <v>465</v>
      </c>
      <c r="F299" s="33"/>
      <c r="G299" s="33"/>
      <c r="H299" s="34">
        <f>H300</f>
        <v>30</v>
      </c>
      <c r="I299" s="77"/>
      <c r="J299" s="77"/>
      <c r="K299" s="77"/>
      <c r="L299" s="77"/>
      <c r="M299" s="36"/>
    </row>
    <row r="300" spans="1:13" s="16" customFormat="1" ht="35.25" customHeight="1" x14ac:dyDescent="0.4">
      <c r="A300" s="33" t="s">
        <v>187</v>
      </c>
      <c r="B300" s="46" t="s">
        <v>70</v>
      </c>
      <c r="C300" s="64" t="s">
        <v>119</v>
      </c>
      <c r="D300" s="64" t="s">
        <v>351</v>
      </c>
      <c r="E300" s="33" t="s">
        <v>465</v>
      </c>
      <c r="F300" s="33" t="s">
        <v>71</v>
      </c>
      <c r="G300" s="33"/>
      <c r="H300" s="34">
        <f>H301</f>
        <v>30</v>
      </c>
      <c r="I300" s="77"/>
      <c r="J300" s="77"/>
      <c r="K300" s="77"/>
      <c r="L300" s="77"/>
      <c r="M300" s="36"/>
    </row>
    <row r="301" spans="1:13" s="16" customFormat="1" ht="35.25" customHeight="1" x14ac:dyDescent="0.4">
      <c r="A301" s="33" t="s">
        <v>188</v>
      </c>
      <c r="B301" s="46" t="s">
        <v>73</v>
      </c>
      <c r="C301" s="64" t="s">
        <v>119</v>
      </c>
      <c r="D301" s="64" t="s">
        <v>351</v>
      </c>
      <c r="E301" s="33" t="s">
        <v>465</v>
      </c>
      <c r="F301" s="33" t="s">
        <v>74</v>
      </c>
      <c r="G301" s="33"/>
      <c r="H301" s="34">
        <v>30</v>
      </c>
      <c r="I301" s="77"/>
      <c r="J301" s="77"/>
      <c r="K301" s="77"/>
      <c r="L301" s="77"/>
      <c r="M301" s="36"/>
    </row>
    <row r="302" spans="1:13" s="16" customFormat="1" ht="17.25" hidden="1" customHeight="1" x14ac:dyDescent="0.4">
      <c r="A302" s="33" t="s">
        <v>466</v>
      </c>
      <c r="B302" s="46" t="s">
        <v>56</v>
      </c>
      <c r="C302" s="64" t="s">
        <v>119</v>
      </c>
      <c r="D302" s="64" t="s">
        <v>351</v>
      </c>
      <c r="E302" s="33" t="s">
        <v>465</v>
      </c>
      <c r="F302" s="33" t="s">
        <v>74</v>
      </c>
      <c r="G302" s="33" t="s">
        <v>57</v>
      </c>
      <c r="H302" s="34">
        <f>H303</f>
        <v>60</v>
      </c>
      <c r="I302" s="77"/>
      <c r="J302" s="77"/>
      <c r="K302" s="77"/>
      <c r="L302" s="77"/>
      <c r="M302" s="36"/>
    </row>
    <row r="303" spans="1:13" s="16" customFormat="1" ht="17.25" hidden="1" customHeight="1" x14ac:dyDescent="0.4">
      <c r="A303" s="50" t="s">
        <v>467</v>
      </c>
      <c r="B303" s="58" t="s">
        <v>59</v>
      </c>
      <c r="C303" s="82" t="s">
        <v>119</v>
      </c>
      <c r="D303" s="82" t="s">
        <v>351</v>
      </c>
      <c r="E303" s="50" t="s">
        <v>465</v>
      </c>
      <c r="F303" s="50" t="s">
        <v>74</v>
      </c>
      <c r="G303" s="50" t="s">
        <v>60</v>
      </c>
      <c r="H303" s="51">
        <v>60</v>
      </c>
      <c r="I303" s="77"/>
      <c r="J303" s="77"/>
      <c r="K303" s="77"/>
      <c r="L303" s="77"/>
      <c r="M303" s="36"/>
    </row>
    <row r="304" spans="1:13" s="16" customFormat="1" ht="17.25" hidden="1" customHeight="1" x14ac:dyDescent="0.4">
      <c r="A304" s="33" t="s">
        <v>468</v>
      </c>
      <c r="B304" s="78" t="s">
        <v>102</v>
      </c>
      <c r="C304" s="64" t="s">
        <v>119</v>
      </c>
      <c r="D304" s="82" t="s">
        <v>351</v>
      </c>
      <c r="E304" s="33" t="s">
        <v>465</v>
      </c>
      <c r="F304" s="33" t="s">
        <v>74</v>
      </c>
      <c r="G304" s="33" t="s">
        <v>103</v>
      </c>
      <c r="H304" s="34">
        <v>40</v>
      </c>
      <c r="I304" s="77"/>
      <c r="J304" s="77"/>
      <c r="K304" s="77"/>
      <c r="L304" s="77"/>
      <c r="M304" s="36"/>
    </row>
    <row r="305" spans="1:13" s="16" customFormat="1" ht="103" customHeight="1" x14ac:dyDescent="0.4">
      <c r="A305" s="33" t="s">
        <v>469</v>
      </c>
      <c r="B305" s="78" t="s">
        <v>470</v>
      </c>
      <c r="C305" s="64" t="s">
        <v>119</v>
      </c>
      <c r="D305" s="64" t="s">
        <v>351</v>
      </c>
      <c r="E305" s="33" t="s">
        <v>471</v>
      </c>
      <c r="F305" s="33"/>
      <c r="G305" s="33"/>
      <c r="H305" s="34">
        <f>H306</f>
        <v>114.4</v>
      </c>
      <c r="I305" s="77"/>
      <c r="J305" s="77"/>
      <c r="K305" s="77"/>
      <c r="L305" s="77"/>
      <c r="M305" s="36"/>
    </row>
    <row r="306" spans="1:13" s="16" customFormat="1" ht="38.5" customHeight="1" x14ac:dyDescent="0.4">
      <c r="A306" s="33" t="s">
        <v>472</v>
      </c>
      <c r="B306" s="78" t="s">
        <v>70</v>
      </c>
      <c r="C306" s="64" t="s">
        <v>119</v>
      </c>
      <c r="D306" s="64" t="s">
        <v>351</v>
      </c>
      <c r="E306" s="33" t="s">
        <v>471</v>
      </c>
      <c r="F306" s="33" t="s">
        <v>71</v>
      </c>
      <c r="G306" s="33"/>
      <c r="H306" s="34">
        <f>H307</f>
        <v>114.4</v>
      </c>
      <c r="I306" s="77"/>
      <c r="J306" s="77"/>
      <c r="K306" s="77"/>
      <c r="L306" s="77"/>
      <c r="M306" s="36"/>
    </row>
    <row r="307" spans="1:13" s="16" customFormat="1" ht="34" customHeight="1" x14ac:dyDescent="0.4">
      <c r="A307" s="33" t="s">
        <v>473</v>
      </c>
      <c r="B307" s="78" t="s">
        <v>73</v>
      </c>
      <c r="C307" s="64" t="s">
        <v>119</v>
      </c>
      <c r="D307" s="64" t="s">
        <v>351</v>
      </c>
      <c r="E307" s="33" t="s">
        <v>471</v>
      </c>
      <c r="F307" s="33" t="s">
        <v>74</v>
      </c>
      <c r="G307" s="33"/>
      <c r="H307" s="34">
        <v>114.4</v>
      </c>
      <c r="I307" s="77"/>
      <c r="J307" s="77"/>
      <c r="K307" s="77"/>
      <c r="L307" s="77"/>
      <c r="M307" s="36"/>
    </row>
    <row r="308" spans="1:13" s="16" customFormat="1" ht="86.5" customHeight="1" x14ac:dyDescent="0.4">
      <c r="A308" s="33" t="s">
        <v>474</v>
      </c>
      <c r="B308" s="103" t="s">
        <v>475</v>
      </c>
      <c r="C308" s="64" t="s">
        <v>119</v>
      </c>
      <c r="D308" s="33" t="s">
        <v>351</v>
      </c>
      <c r="E308" s="33" t="s">
        <v>476</v>
      </c>
      <c r="F308" s="33"/>
      <c r="G308" s="33"/>
      <c r="H308" s="34">
        <f>H309</f>
        <v>25</v>
      </c>
      <c r="I308" s="77"/>
      <c r="J308" s="77"/>
      <c r="K308" s="77"/>
      <c r="L308" s="77"/>
      <c r="M308" s="36"/>
    </row>
    <row r="309" spans="1:13" s="16" customFormat="1" ht="36" customHeight="1" x14ac:dyDescent="0.4">
      <c r="A309" s="33" t="s">
        <v>477</v>
      </c>
      <c r="B309" s="46" t="s">
        <v>70</v>
      </c>
      <c r="C309" s="64" t="s">
        <v>119</v>
      </c>
      <c r="D309" s="64" t="s">
        <v>351</v>
      </c>
      <c r="E309" s="33" t="s">
        <v>476</v>
      </c>
      <c r="F309" s="33" t="s">
        <v>71</v>
      </c>
      <c r="G309" s="33"/>
      <c r="H309" s="34">
        <f>H310</f>
        <v>25</v>
      </c>
      <c r="I309" s="77"/>
      <c r="J309" s="77"/>
      <c r="K309" s="77"/>
      <c r="L309" s="77"/>
      <c r="M309" s="36"/>
    </row>
    <row r="310" spans="1:13" s="16" customFormat="1" ht="36" customHeight="1" x14ac:dyDescent="0.4">
      <c r="A310" s="33" t="s">
        <v>478</v>
      </c>
      <c r="B310" s="46" t="s">
        <v>73</v>
      </c>
      <c r="C310" s="64" t="s">
        <v>119</v>
      </c>
      <c r="D310" s="64" t="s">
        <v>351</v>
      </c>
      <c r="E310" s="33" t="s">
        <v>476</v>
      </c>
      <c r="F310" s="33" t="s">
        <v>74</v>
      </c>
      <c r="G310" s="33"/>
      <c r="H310" s="34">
        <v>25</v>
      </c>
      <c r="I310" s="77"/>
      <c r="J310" s="77"/>
      <c r="K310" s="77"/>
      <c r="L310" s="77"/>
      <c r="M310" s="36"/>
    </row>
    <row r="311" spans="1:13" s="16" customFormat="1" ht="17.25" hidden="1" customHeight="1" x14ac:dyDescent="0.4">
      <c r="A311" s="33" t="s">
        <v>479</v>
      </c>
      <c r="B311" s="46" t="s">
        <v>56</v>
      </c>
      <c r="C311" s="64" t="s">
        <v>119</v>
      </c>
      <c r="D311" s="64" t="s">
        <v>351</v>
      </c>
      <c r="E311" s="33" t="s">
        <v>476</v>
      </c>
      <c r="F311" s="33" t="s">
        <v>74</v>
      </c>
      <c r="G311" s="33" t="s">
        <v>57</v>
      </c>
      <c r="H311" s="34">
        <f>H312</f>
        <v>20</v>
      </c>
      <c r="I311" s="77"/>
      <c r="J311" s="77"/>
      <c r="K311" s="77"/>
      <c r="L311" s="77"/>
      <c r="M311" s="36"/>
    </row>
    <row r="312" spans="1:13" s="16" customFormat="1" ht="17.25" hidden="1" customHeight="1" x14ac:dyDescent="0.4">
      <c r="A312" s="50" t="s">
        <v>480</v>
      </c>
      <c r="B312" s="58" t="s">
        <v>59</v>
      </c>
      <c r="C312" s="82" t="s">
        <v>119</v>
      </c>
      <c r="D312" s="82" t="s">
        <v>351</v>
      </c>
      <c r="E312" s="50" t="s">
        <v>476</v>
      </c>
      <c r="F312" s="50" t="s">
        <v>74</v>
      </c>
      <c r="G312" s="50" t="s">
        <v>60</v>
      </c>
      <c r="H312" s="51">
        <v>20</v>
      </c>
      <c r="I312" s="77"/>
      <c r="J312" s="77"/>
      <c r="K312" s="77"/>
      <c r="L312" s="77"/>
      <c r="M312" s="36"/>
    </row>
    <row r="313" spans="1:13" s="16" customFormat="1" ht="17.25" hidden="1" customHeight="1" x14ac:dyDescent="0.4">
      <c r="A313" s="33" t="s">
        <v>481</v>
      </c>
      <c r="B313" s="78" t="s">
        <v>102</v>
      </c>
      <c r="C313" s="64" t="s">
        <v>119</v>
      </c>
      <c r="D313" s="64" t="s">
        <v>351</v>
      </c>
      <c r="E313" s="33" t="s">
        <v>476</v>
      </c>
      <c r="F313" s="33" t="s">
        <v>74</v>
      </c>
      <c r="G313" s="33" t="s">
        <v>103</v>
      </c>
      <c r="H313" s="34">
        <v>40</v>
      </c>
      <c r="I313" s="77"/>
      <c r="J313" s="77"/>
      <c r="K313" s="77"/>
      <c r="L313" s="77"/>
      <c r="M313" s="36"/>
    </row>
    <row r="314" spans="1:13" s="16" customFormat="1" ht="21.5" customHeight="1" x14ac:dyDescent="0.4">
      <c r="A314" s="33" t="s">
        <v>13</v>
      </c>
      <c r="B314" s="78" t="s">
        <v>363</v>
      </c>
      <c r="C314" s="64" t="s">
        <v>119</v>
      </c>
      <c r="D314" s="33" t="s">
        <v>364</v>
      </c>
      <c r="E314" s="33"/>
      <c r="F314" s="33"/>
      <c r="G314" s="33"/>
      <c r="H314" s="34">
        <f>H315</f>
        <v>2029.3</v>
      </c>
      <c r="I314" s="77"/>
      <c r="J314" s="77"/>
      <c r="K314" s="77"/>
      <c r="L314" s="77"/>
      <c r="M314" s="36"/>
    </row>
    <row r="315" spans="1:13" s="16" customFormat="1" ht="34.5" customHeight="1" x14ac:dyDescent="0.4">
      <c r="A315" s="33" t="s">
        <v>201</v>
      </c>
      <c r="B315" s="78" t="s">
        <v>482</v>
      </c>
      <c r="C315" s="64" t="s">
        <v>119</v>
      </c>
      <c r="D315" s="33" t="s">
        <v>483</v>
      </c>
      <c r="E315" s="33"/>
      <c r="F315" s="33"/>
      <c r="G315" s="33"/>
      <c r="H315" s="34">
        <f>H316+H323</f>
        <v>2029.3</v>
      </c>
      <c r="I315" s="77"/>
      <c r="J315" s="77"/>
      <c r="K315" s="77"/>
      <c r="L315" s="77"/>
      <c r="M315" s="36"/>
    </row>
    <row r="316" spans="1:13" s="16" customFormat="1" ht="56.25" customHeight="1" x14ac:dyDescent="0.4">
      <c r="A316" s="33" t="s">
        <v>204</v>
      </c>
      <c r="B316" s="78" t="s">
        <v>484</v>
      </c>
      <c r="C316" s="64" t="s">
        <v>119</v>
      </c>
      <c r="D316" s="33" t="s">
        <v>483</v>
      </c>
      <c r="E316" s="33" t="s">
        <v>485</v>
      </c>
      <c r="F316" s="33"/>
      <c r="G316" s="33"/>
      <c r="H316" s="34">
        <f>H317</f>
        <v>780</v>
      </c>
      <c r="I316" s="77"/>
      <c r="J316" s="77"/>
      <c r="K316" s="77"/>
      <c r="L316" s="77"/>
      <c r="M316" s="36"/>
    </row>
    <row r="317" spans="1:13" s="16" customFormat="1" ht="40.5" customHeight="1" x14ac:dyDescent="0.4">
      <c r="A317" s="33" t="s">
        <v>486</v>
      </c>
      <c r="B317" s="78" t="s">
        <v>70</v>
      </c>
      <c r="C317" s="64" t="s">
        <v>119</v>
      </c>
      <c r="D317" s="33" t="s">
        <v>483</v>
      </c>
      <c r="E317" s="33" t="s">
        <v>485</v>
      </c>
      <c r="F317" s="33" t="s">
        <v>71</v>
      </c>
      <c r="G317" s="33"/>
      <c r="H317" s="34">
        <f>H318</f>
        <v>780</v>
      </c>
      <c r="I317" s="77"/>
      <c r="J317" s="77"/>
      <c r="K317" s="77"/>
      <c r="L317" s="77"/>
      <c r="M317" s="36"/>
    </row>
    <row r="318" spans="1:13" s="16" customFormat="1" ht="35.25" customHeight="1" x14ac:dyDescent="0.4">
      <c r="A318" s="33" t="s">
        <v>487</v>
      </c>
      <c r="B318" s="46" t="s">
        <v>73</v>
      </c>
      <c r="C318" s="64" t="s">
        <v>119</v>
      </c>
      <c r="D318" s="33" t="s">
        <v>483</v>
      </c>
      <c r="E318" s="33" t="s">
        <v>485</v>
      </c>
      <c r="F318" s="33" t="s">
        <v>74</v>
      </c>
      <c r="G318" s="33"/>
      <c r="H318" s="34">
        <v>780</v>
      </c>
      <c r="I318" s="77"/>
      <c r="J318" s="77"/>
      <c r="K318" s="77"/>
      <c r="L318" s="77"/>
      <c r="M318" s="36"/>
    </row>
    <row r="319" spans="1:13" s="16" customFormat="1" ht="17.25" hidden="1" customHeight="1" x14ac:dyDescent="0.4">
      <c r="A319" s="33" t="s">
        <v>223</v>
      </c>
      <c r="B319" s="46" t="s">
        <v>56</v>
      </c>
      <c r="C319" s="64" t="s">
        <v>119</v>
      </c>
      <c r="D319" s="33" t="s">
        <v>483</v>
      </c>
      <c r="E319" s="33" t="s">
        <v>485</v>
      </c>
      <c r="F319" s="33" t="s">
        <v>74</v>
      </c>
      <c r="G319" s="33" t="s">
        <v>57</v>
      </c>
      <c r="H319" s="34">
        <f>H320+H321</f>
        <v>400</v>
      </c>
      <c r="I319" s="77"/>
      <c r="J319" s="77"/>
      <c r="K319" s="77"/>
      <c r="L319" s="77"/>
      <c r="M319" s="36"/>
    </row>
    <row r="320" spans="1:13" s="16" customFormat="1" ht="17.25" hidden="1" customHeight="1" x14ac:dyDescent="0.4">
      <c r="A320" s="50" t="s">
        <v>488</v>
      </c>
      <c r="B320" s="58" t="s">
        <v>489</v>
      </c>
      <c r="C320" s="82" t="s">
        <v>119</v>
      </c>
      <c r="D320" s="50" t="s">
        <v>483</v>
      </c>
      <c r="E320" s="50" t="s">
        <v>485</v>
      </c>
      <c r="F320" s="50" t="s">
        <v>74</v>
      </c>
      <c r="G320" s="50" t="s">
        <v>490</v>
      </c>
      <c r="H320" s="51">
        <v>145</v>
      </c>
      <c r="I320" s="77"/>
      <c r="J320" s="77"/>
      <c r="K320" s="77"/>
      <c r="L320" s="77"/>
      <c r="M320" s="36"/>
    </row>
    <row r="321" spans="1:15" s="16" customFormat="1" ht="17.25" hidden="1" customHeight="1" x14ac:dyDescent="0.4">
      <c r="A321" s="50" t="s">
        <v>491</v>
      </c>
      <c r="B321" s="58" t="s">
        <v>59</v>
      </c>
      <c r="C321" s="82" t="s">
        <v>119</v>
      </c>
      <c r="D321" s="50" t="s">
        <v>483</v>
      </c>
      <c r="E321" s="50" t="s">
        <v>485</v>
      </c>
      <c r="F321" s="50" t="s">
        <v>74</v>
      </c>
      <c r="G321" s="50" t="s">
        <v>60</v>
      </c>
      <c r="H321" s="51">
        <v>255</v>
      </c>
      <c r="I321" s="77"/>
      <c r="J321" s="77"/>
      <c r="K321" s="77"/>
      <c r="L321" s="77"/>
      <c r="M321" s="36"/>
    </row>
    <row r="322" spans="1:15" s="16" customFormat="1" ht="17.25" hidden="1" customHeight="1" x14ac:dyDescent="0.4">
      <c r="A322" s="33" t="s">
        <v>492</v>
      </c>
      <c r="B322" s="78" t="s">
        <v>102</v>
      </c>
      <c r="C322" s="64" t="s">
        <v>119</v>
      </c>
      <c r="D322" s="33" t="s">
        <v>483</v>
      </c>
      <c r="E322" s="33" t="s">
        <v>485</v>
      </c>
      <c r="F322" s="33" t="s">
        <v>74</v>
      </c>
      <c r="G322" s="33" t="s">
        <v>103</v>
      </c>
      <c r="H322" s="34">
        <v>50</v>
      </c>
      <c r="I322" s="77"/>
      <c r="J322" s="77"/>
      <c r="K322" s="77"/>
      <c r="L322" s="77"/>
      <c r="M322" s="36"/>
    </row>
    <row r="323" spans="1:15" s="16" customFormat="1" ht="92" customHeight="1" x14ac:dyDescent="0.4">
      <c r="A323" s="33" t="s">
        <v>493</v>
      </c>
      <c r="B323" s="78" t="s">
        <v>470</v>
      </c>
      <c r="C323" s="64" t="s">
        <v>119</v>
      </c>
      <c r="D323" s="33" t="s">
        <v>483</v>
      </c>
      <c r="E323" s="33" t="s">
        <v>494</v>
      </c>
      <c r="F323" s="33"/>
      <c r="G323" s="33"/>
      <c r="H323" s="34">
        <f>H324</f>
        <v>1249.3</v>
      </c>
      <c r="I323" s="77"/>
      <c r="J323" s="77"/>
      <c r="K323" s="77"/>
      <c r="L323" s="77"/>
      <c r="M323" s="36"/>
    </row>
    <row r="324" spans="1:15" s="16" customFormat="1" ht="33.5" customHeight="1" x14ac:dyDescent="0.4">
      <c r="A324" s="33" t="s">
        <v>495</v>
      </c>
      <c r="B324" s="78" t="s">
        <v>70</v>
      </c>
      <c r="C324" s="64" t="s">
        <v>119</v>
      </c>
      <c r="D324" s="33" t="s">
        <v>483</v>
      </c>
      <c r="E324" s="33" t="s">
        <v>494</v>
      </c>
      <c r="F324" s="33" t="s">
        <v>71</v>
      </c>
      <c r="G324" s="33"/>
      <c r="H324" s="34">
        <f>H325</f>
        <v>1249.3</v>
      </c>
      <c r="I324" s="77"/>
      <c r="J324" s="77"/>
      <c r="K324" s="77"/>
      <c r="L324" s="77"/>
      <c r="M324" s="36"/>
    </row>
    <row r="325" spans="1:15" s="16" customFormat="1" ht="34" customHeight="1" x14ac:dyDescent="0.4">
      <c r="A325" s="33" t="s">
        <v>496</v>
      </c>
      <c r="B325" s="78" t="s">
        <v>73</v>
      </c>
      <c r="C325" s="64" t="s">
        <v>119</v>
      </c>
      <c r="D325" s="33" t="s">
        <v>483</v>
      </c>
      <c r="E325" s="33" t="s">
        <v>494</v>
      </c>
      <c r="F325" s="33" t="s">
        <v>74</v>
      </c>
      <c r="G325" s="33"/>
      <c r="H325" s="34">
        <v>1249.3</v>
      </c>
      <c r="I325" s="77"/>
      <c r="J325" s="77"/>
      <c r="K325" s="77"/>
      <c r="L325" s="77"/>
      <c r="M325" s="36"/>
    </row>
    <row r="326" spans="1:15" s="16" customFormat="1" ht="21.5" hidden="1" customHeight="1" x14ac:dyDescent="0.4">
      <c r="A326" s="104" t="s">
        <v>497</v>
      </c>
      <c r="B326" s="105" t="s">
        <v>56</v>
      </c>
      <c r="C326" s="106" t="s">
        <v>483</v>
      </c>
      <c r="D326" s="107" t="s">
        <v>483</v>
      </c>
      <c r="E326" s="107" t="s">
        <v>494</v>
      </c>
      <c r="F326" s="107" t="s">
        <v>74</v>
      </c>
      <c r="G326" s="107" t="s">
        <v>57</v>
      </c>
      <c r="H326" s="108">
        <f>H327</f>
        <v>886.6</v>
      </c>
      <c r="I326" s="77"/>
      <c r="J326" s="77"/>
      <c r="K326" s="77"/>
      <c r="L326" s="77"/>
      <c r="M326" s="36"/>
    </row>
    <row r="327" spans="1:15" s="16" customFormat="1" ht="20" hidden="1" customHeight="1" x14ac:dyDescent="0.4">
      <c r="A327" s="109" t="s">
        <v>498</v>
      </c>
      <c r="B327" s="110" t="s">
        <v>59</v>
      </c>
      <c r="C327" s="111" t="s">
        <v>483</v>
      </c>
      <c r="D327" s="112" t="s">
        <v>483</v>
      </c>
      <c r="E327" s="112" t="s">
        <v>494</v>
      </c>
      <c r="F327" s="112" t="s">
        <v>74</v>
      </c>
      <c r="G327" s="112" t="s">
        <v>60</v>
      </c>
      <c r="H327" s="113">
        <f>'[2]Ропись 2013 утвержд.'!H357</f>
        <v>886.6</v>
      </c>
      <c r="I327" s="77"/>
      <c r="J327" s="77"/>
      <c r="K327" s="77"/>
      <c r="L327" s="77"/>
      <c r="M327" s="36"/>
    </row>
    <row r="328" spans="1:15" s="16" customFormat="1" ht="22.5" hidden="1" customHeight="1" x14ac:dyDescent="0.4">
      <c r="A328" s="104" t="s">
        <v>499</v>
      </c>
      <c r="B328" s="105" t="s">
        <v>102</v>
      </c>
      <c r="C328" s="106" t="s">
        <v>483</v>
      </c>
      <c r="D328" s="107" t="s">
        <v>483</v>
      </c>
      <c r="E328" s="107" t="s">
        <v>494</v>
      </c>
      <c r="F328" s="107" t="s">
        <v>74</v>
      </c>
      <c r="G328" s="107" t="s">
        <v>103</v>
      </c>
      <c r="H328" s="108">
        <v>123</v>
      </c>
      <c r="I328" s="77"/>
      <c r="J328" s="77"/>
      <c r="K328" s="77"/>
      <c r="L328" s="77"/>
      <c r="M328" s="36"/>
    </row>
    <row r="329" spans="1:15" s="20" customFormat="1" ht="21" customHeight="1" x14ac:dyDescent="0.4">
      <c r="A329" s="114"/>
      <c r="B329" s="115" t="s">
        <v>500</v>
      </c>
      <c r="C329" s="116"/>
      <c r="D329" s="117"/>
      <c r="E329" s="117"/>
      <c r="F329" s="117"/>
      <c r="G329" s="117"/>
      <c r="H329" s="118">
        <f>H11+H52+H256</f>
        <v>54668.399999999994</v>
      </c>
      <c r="I329" s="119" t="e">
        <f>I11+I52+#REF!+I256</f>
        <v>#REF!</v>
      </c>
      <c r="J329" s="119" t="e">
        <f>J11+J52+#REF!+J256</f>
        <v>#REF!</v>
      </c>
      <c r="K329" s="119" t="e">
        <f>K11+K52+#REF!+K256</f>
        <v>#REF!</v>
      </c>
      <c r="L329" s="119" t="e">
        <f>L11+L52+#REF!+L256</f>
        <v>#REF!</v>
      </c>
      <c r="M329" s="36"/>
      <c r="O329" s="16"/>
    </row>
    <row r="330" spans="1:15" s="124" customFormat="1" ht="20.5" customHeight="1" x14ac:dyDescent="0.4">
      <c r="A330" s="120"/>
      <c r="B330" s="121"/>
      <c r="C330" s="121"/>
      <c r="D330" s="120"/>
      <c r="E330" s="120"/>
      <c r="F330" s="120"/>
      <c r="G330" s="120"/>
      <c r="H330" s="122"/>
      <c r="I330" s="123"/>
      <c r="K330" s="125"/>
      <c r="M330" s="126"/>
      <c r="O330" s="20"/>
    </row>
    <row r="331" spans="1:15" ht="23" x14ac:dyDescent="0.5">
      <c r="G331" s="130"/>
      <c r="H331" s="131">
        <v>54668.4</v>
      </c>
      <c r="I331" s="132"/>
      <c r="M331" s="133"/>
      <c r="O331" s="124"/>
    </row>
    <row r="332" spans="1:15" ht="15.5" x14ac:dyDescent="0.35">
      <c r="H332" s="130"/>
      <c r="I332" s="134"/>
      <c r="J332" s="19"/>
      <c r="K332" s="19"/>
      <c r="L332" s="19"/>
    </row>
    <row r="333" spans="1:15" ht="23" x14ac:dyDescent="0.5">
      <c r="G333" s="131" t="s">
        <v>501</v>
      </c>
      <c r="H333" s="135">
        <f>H331-H329</f>
        <v>0</v>
      </c>
      <c r="I333" s="11"/>
      <c r="J333" s="136"/>
      <c r="K333" s="137"/>
      <c r="L333" s="137"/>
    </row>
    <row r="334" spans="1:15" ht="18" x14ac:dyDescent="0.4">
      <c r="G334" s="138"/>
      <c r="H334" s="137"/>
      <c r="I334" s="139"/>
      <c r="J334" s="140"/>
      <c r="K334" s="140"/>
      <c r="L334" s="140"/>
    </row>
    <row r="335" spans="1:15" ht="18" x14ac:dyDescent="0.4">
      <c r="H335" s="130"/>
      <c r="I335" s="39"/>
    </row>
    <row r="336" spans="1:15" ht="18" x14ac:dyDescent="0.4">
      <c r="H336" s="130"/>
      <c r="I336" s="39"/>
      <c r="J336" s="130"/>
      <c r="K336" s="137"/>
      <c r="L336" s="137"/>
    </row>
    <row r="337" spans="1:23" ht="18" x14ac:dyDescent="0.4">
      <c r="H337" s="137"/>
      <c r="I337" s="39"/>
      <c r="J337" s="130"/>
      <c r="K337" s="130"/>
      <c r="L337" s="137"/>
    </row>
    <row r="338" spans="1:23" ht="18" x14ac:dyDescent="0.4">
      <c r="I338" s="39"/>
      <c r="J338" s="130"/>
      <c r="K338" s="130"/>
      <c r="L338" s="130"/>
    </row>
    <row r="339" spans="1:23" s="128" customFormat="1" ht="18" x14ac:dyDescent="0.4">
      <c r="A339" s="127"/>
      <c r="B339" s="141"/>
      <c r="D339" s="129"/>
      <c r="E339" s="129"/>
      <c r="F339" s="129"/>
      <c r="G339" s="129"/>
      <c r="H339" s="6"/>
      <c r="I339" s="39"/>
      <c r="J339" s="130"/>
      <c r="K339" s="130"/>
      <c r="L339" s="130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x14ac:dyDescent="0.25">
      <c r="J340" s="137"/>
      <c r="K340" s="137"/>
      <c r="L340" s="137"/>
    </row>
  </sheetData>
  <mergeCells count="6">
    <mergeCell ref="F2:H2"/>
    <mergeCell ref="F3:H3"/>
    <mergeCell ref="E5:H5"/>
    <mergeCell ref="F6:H6"/>
    <mergeCell ref="A8:H8"/>
    <mergeCell ref="C4:H4"/>
  </mergeCells>
  <pageMargins left="0.39370078740157483" right="0" top="0.19685039370078741" bottom="0.19685039370078741" header="0.39370078740157483" footer="0.19685039370078741"/>
  <pageSetup scale="65" orientation="portrait" r:id="rId1"/>
  <headerFooter alignWithMargins="0"/>
  <rowBreaks count="7" manualBreakCount="7">
    <brk id="51" max="11" man="1"/>
    <brk id="100" max="11" man="1"/>
    <brk id="145" max="11" man="1"/>
    <brk id="196" max="11" man="1"/>
    <brk id="238" max="11" man="1"/>
    <brk id="298" max="11" man="1"/>
    <brk id="3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2013г к Реш  Измен. Ноябрь (2)</vt:lpstr>
      <vt:lpstr>БЮДЖЕТ Изм. ноябрь Решение №23</vt:lpstr>
      <vt:lpstr>'2013г к Реш  Измен. Ноябрь (2)'!OLE_LINK1</vt:lpstr>
      <vt:lpstr>'2013г к Реш  Измен. Ноябрь (2)'!Область_печати</vt:lpstr>
      <vt:lpstr>'БЮДЖЕТ Изм. ноябрь Решение №23'!Область_печати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2013-11-20T10:55:27Z</dcterms:modified>
</cp:coreProperties>
</file>