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35" windowWidth="14805" windowHeight="5280" activeTab="3"/>
  </bookViews>
  <sheets>
    <sheet name="Новые доходы" sheetId="17" r:id="rId1"/>
    <sheet name="ВСР" sheetId="8" r:id="rId2"/>
    <sheet name="Распр бюдж ассигн" sheetId="9" r:id="rId3"/>
    <sheet name="Источники" sheetId="10" r:id="rId4"/>
    <sheet name="СвБРосп2" sheetId="18" r:id="rId5"/>
  </sheets>
  <externalReferences>
    <externalReference r:id="rId6"/>
    <externalReference r:id="rId7"/>
  </externalReferences>
  <definedNames>
    <definedName name="_xlnm._FilterDatabase" localSheetId="1" hidden="1">ВСР!$A$11:$R$147</definedName>
    <definedName name="_xlnm._FilterDatabase" localSheetId="0" hidden="1">'Новые доходы'!$A$13:$H$60</definedName>
    <definedName name="_xlnm._FilterDatabase" localSheetId="2" hidden="1">'Распр бюдж ассигн'!$A$10:$T$135</definedName>
    <definedName name="_xlnm._FilterDatabase" localSheetId="4" hidden="1">СвБРосп2!$A$9:$X$462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ВСР!$A$1:$I$145</definedName>
    <definedName name="_xlnm.Print_Area" localSheetId="3">Источники!$A$1:$E$22</definedName>
    <definedName name="_xlnm.Print_Area" localSheetId="0">'Новые доходы'!$A$1:$G$60</definedName>
    <definedName name="_xlnm.Print_Area" localSheetId="2">'Распр бюдж ассигн'!$A$1:$H$135</definedName>
    <definedName name="_xlnm.Print_Area" localSheetId="4">СвБРосп2!$A$1:$J$466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E45" i="17" l="1"/>
  <c r="E42" i="17"/>
  <c r="K145" i="8"/>
  <c r="J145" i="8"/>
  <c r="L345" i="18"/>
  <c r="L344" i="18"/>
  <c r="L165" i="18"/>
  <c r="L163" i="18"/>
  <c r="L134" i="18"/>
  <c r="H132" i="18"/>
  <c r="L132" i="18" s="1"/>
  <c r="L133" i="18"/>
  <c r="L130" i="18"/>
  <c r="L131" i="18"/>
  <c r="H342" i="18" l="1"/>
  <c r="G74" i="9"/>
  <c r="H74" i="9"/>
  <c r="F74" i="9"/>
  <c r="H56" i="8"/>
  <c r="I56" i="8"/>
  <c r="G57" i="8"/>
  <c r="G56" i="8" s="1"/>
  <c r="I148" i="18"/>
  <c r="I147" i="18" s="1"/>
  <c r="I146" i="18" s="1"/>
  <c r="I145" i="18" s="1"/>
  <c r="I144" i="18" s="1"/>
  <c r="J148" i="18"/>
  <c r="J147" i="18" s="1"/>
  <c r="J146" i="18" s="1"/>
  <c r="J145" i="18" s="1"/>
  <c r="J144" i="18" s="1"/>
  <c r="H149" i="18"/>
  <c r="H148" i="18" s="1"/>
  <c r="H147" i="18" s="1"/>
  <c r="H146" i="18" s="1"/>
  <c r="H145" i="18" s="1"/>
  <c r="H144" i="18" s="1"/>
  <c r="K464" i="18"/>
  <c r="J460" i="18"/>
  <c r="J459" i="18" s="1"/>
  <c r="J458" i="18" s="1"/>
  <c r="I460" i="18"/>
  <c r="I459" i="18" s="1"/>
  <c r="I458" i="18" s="1"/>
  <c r="H460" i="18"/>
  <c r="H459" i="18"/>
  <c r="H458" i="18" s="1"/>
  <c r="J456" i="18"/>
  <c r="I456" i="18"/>
  <c r="H456" i="18"/>
  <c r="J453" i="18"/>
  <c r="J452" i="18" s="1"/>
  <c r="J451" i="18" s="1"/>
  <c r="J450" i="18" s="1"/>
  <c r="I453" i="18"/>
  <c r="H453" i="18"/>
  <c r="H452" i="18" s="1"/>
  <c r="H451" i="18" s="1"/>
  <c r="H450" i="18" s="1"/>
  <c r="H449" i="18" s="1"/>
  <c r="I448" i="18"/>
  <c r="J447" i="18"/>
  <c r="J446" i="18" s="1"/>
  <c r="I447" i="18"/>
  <c r="I446" i="18" s="1"/>
  <c r="H447" i="18"/>
  <c r="H446" i="18" s="1"/>
  <c r="I445" i="18"/>
  <c r="J444" i="18"/>
  <c r="J443" i="18" s="1"/>
  <c r="I444" i="18"/>
  <c r="H444" i="18"/>
  <c r="H443" i="18" s="1"/>
  <c r="I443" i="18"/>
  <c r="J435" i="18"/>
  <c r="J434" i="18" s="1"/>
  <c r="I435" i="18"/>
  <c r="H435" i="18"/>
  <c r="H434" i="18" s="1"/>
  <c r="H433" i="18" s="1"/>
  <c r="H432" i="18" s="1"/>
  <c r="H431" i="18" s="1"/>
  <c r="H430" i="18" s="1"/>
  <c r="I434" i="18"/>
  <c r="I433" i="18" s="1"/>
  <c r="I432" i="18" s="1"/>
  <c r="I431" i="18" s="1"/>
  <c r="I430" i="18" s="1"/>
  <c r="J433" i="18"/>
  <c r="J432" i="18" s="1"/>
  <c r="J431" i="18" s="1"/>
  <c r="J430" i="18" s="1"/>
  <c r="J428" i="18"/>
  <c r="J427" i="18" s="1"/>
  <c r="I428" i="18"/>
  <c r="H428" i="18"/>
  <c r="H427" i="18" s="1"/>
  <c r="H426" i="18" s="1"/>
  <c r="H425" i="18" s="1"/>
  <c r="H424" i="18" s="1"/>
  <c r="I427" i="18"/>
  <c r="I426" i="18" s="1"/>
  <c r="J426" i="18"/>
  <c r="J425" i="18" s="1"/>
  <c r="J424" i="18" s="1"/>
  <c r="I425" i="18"/>
  <c r="I424" i="18" s="1"/>
  <c r="H423" i="18"/>
  <c r="H422" i="18" s="1"/>
  <c r="H421" i="18" s="1"/>
  <c r="H420" i="18" s="1"/>
  <c r="H419" i="18" s="1"/>
  <c r="J422" i="18"/>
  <c r="J421" i="18" s="1"/>
  <c r="I422" i="18"/>
  <c r="I421" i="18" s="1"/>
  <c r="I420" i="18" s="1"/>
  <c r="I419" i="18" s="1"/>
  <c r="J420" i="18"/>
  <c r="J419" i="18" s="1"/>
  <c r="J416" i="18"/>
  <c r="I416" i="18"/>
  <c r="H416" i="18"/>
  <c r="J414" i="18"/>
  <c r="I414" i="18"/>
  <c r="H414" i="18"/>
  <c r="J410" i="18"/>
  <c r="I410" i="18"/>
  <c r="H410" i="18"/>
  <c r="J404" i="18"/>
  <c r="I404" i="18"/>
  <c r="H404" i="18"/>
  <c r="J401" i="18"/>
  <c r="I401" i="18"/>
  <c r="H401" i="18"/>
  <c r="J398" i="18"/>
  <c r="I398" i="18"/>
  <c r="H398" i="18"/>
  <c r="H394" i="18"/>
  <c r="J393" i="18"/>
  <c r="J392" i="18" s="1"/>
  <c r="I393" i="18"/>
  <c r="H393" i="18"/>
  <c r="H392" i="18" s="1"/>
  <c r="I392" i="18"/>
  <c r="H391" i="18"/>
  <c r="H390" i="18" s="1"/>
  <c r="J390" i="18"/>
  <c r="I390" i="18"/>
  <c r="I389" i="18" s="1"/>
  <c r="J389" i="18"/>
  <c r="H389" i="18"/>
  <c r="H388" i="18" s="1"/>
  <c r="H387" i="18" s="1"/>
  <c r="J384" i="18"/>
  <c r="J383" i="18" s="1"/>
  <c r="I384" i="18"/>
  <c r="H384" i="18"/>
  <c r="H383" i="18" s="1"/>
  <c r="H382" i="18" s="1"/>
  <c r="H381" i="18" s="1"/>
  <c r="H380" i="18" s="1"/>
  <c r="I383" i="18"/>
  <c r="I382" i="18" s="1"/>
  <c r="I381" i="18" s="1"/>
  <c r="I380" i="18" s="1"/>
  <c r="J382" i="18"/>
  <c r="J381" i="18" s="1"/>
  <c r="J380" i="18" s="1"/>
  <c r="H379" i="18"/>
  <c r="H378" i="18" s="1"/>
  <c r="H377" i="18" s="1"/>
  <c r="J378" i="18"/>
  <c r="J377" i="18" s="1"/>
  <c r="I378" i="18"/>
  <c r="I377" i="18" s="1"/>
  <c r="H376" i="18"/>
  <c r="H375" i="18" s="1"/>
  <c r="J375" i="18"/>
  <c r="I375" i="18"/>
  <c r="H370" i="18"/>
  <c r="H369" i="18" s="1"/>
  <c r="J369" i="18"/>
  <c r="I369" i="18"/>
  <c r="I368" i="18" s="1"/>
  <c r="J368" i="18"/>
  <c r="H368" i="18"/>
  <c r="H367" i="18"/>
  <c r="J366" i="18"/>
  <c r="J365" i="18" s="1"/>
  <c r="I366" i="18"/>
  <c r="H366" i="18"/>
  <c r="H365" i="18" s="1"/>
  <c r="H364" i="18" s="1"/>
  <c r="H363" i="18" s="1"/>
  <c r="H362" i="18" s="1"/>
  <c r="H361" i="18" s="1"/>
  <c r="I365" i="18"/>
  <c r="J357" i="18"/>
  <c r="I357" i="18"/>
  <c r="H357" i="18"/>
  <c r="J354" i="18"/>
  <c r="I354" i="18"/>
  <c r="H354" i="18"/>
  <c r="J346" i="18"/>
  <c r="I346" i="18"/>
  <c r="H346" i="18"/>
  <c r="J342" i="18"/>
  <c r="I342" i="18"/>
  <c r="J334" i="18"/>
  <c r="J333" i="18" s="1"/>
  <c r="J332" i="18" s="1"/>
  <c r="J331" i="18" s="1"/>
  <c r="J330" i="18" s="1"/>
  <c r="I334" i="18"/>
  <c r="I333" i="18" s="1"/>
  <c r="I332" i="18" s="1"/>
  <c r="I331" i="18" s="1"/>
  <c r="I330" i="18" s="1"/>
  <c r="H334" i="18"/>
  <c r="H333" i="18" s="1"/>
  <c r="H332" i="18" s="1"/>
  <c r="H331" i="18" s="1"/>
  <c r="H330" i="18" s="1"/>
  <c r="J328" i="18"/>
  <c r="I328" i="18"/>
  <c r="H328" i="18"/>
  <c r="H327" i="18"/>
  <c r="J324" i="18"/>
  <c r="J323" i="18" s="1"/>
  <c r="J322" i="18" s="1"/>
  <c r="J321" i="18" s="1"/>
  <c r="J320" i="18" s="1"/>
  <c r="I324" i="18"/>
  <c r="H324" i="18"/>
  <c r="I323" i="18"/>
  <c r="I322" i="18" s="1"/>
  <c r="I321" i="18" s="1"/>
  <c r="I320" i="18" s="1"/>
  <c r="J315" i="18"/>
  <c r="J314" i="18" s="1"/>
  <c r="J313" i="18" s="1"/>
  <c r="J312" i="18" s="1"/>
  <c r="J311" i="18" s="1"/>
  <c r="I315" i="18"/>
  <c r="I314" i="18" s="1"/>
  <c r="I313" i="18" s="1"/>
  <c r="I312" i="18" s="1"/>
  <c r="I311" i="18" s="1"/>
  <c r="H315" i="18"/>
  <c r="H314" i="18" s="1"/>
  <c r="H313" i="18" s="1"/>
  <c r="H312" i="18" s="1"/>
  <c r="H311" i="18" s="1"/>
  <c r="J309" i="18"/>
  <c r="J308" i="18" s="1"/>
  <c r="J307" i="18" s="1"/>
  <c r="J306" i="18" s="1"/>
  <c r="I309" i="18"/>
  <c r="H309" i="18"/>
  <c r="H308" i="18" s="1"/>
  <c r="H307" i="18" s="1"/>
  <c r="H306" i="18" s="1"/>
  <c r="I308" i="18"/>
  <c r="I307" i="18" s="1"/>
  <c r="I306" i="18" s="1"/>
  <c r="J304" i="18"/>
  <c r="I304" i="18"/>
  <c r="H304" i="18"/>
  <c r="J301" i="18"/>
  <c r="I301" i="18"/>
  <c r="H301" i="18"/>
  <c r="J295" i="18"/>
  <c r="I295" i="18"/>
  <c r="H295" i="18"/>
  <c r="J292" i="18"/>
  <c r="I292" i="18"/>
  <c r="H292" i="18"/>
  <c r="J286" i="18"/>
  <c r="J285" i="18" s="1"/>
  <c r="J284" i="18" s="1"/>
  <c r="J283" i="18" s="1"/>
  <c r="J282" i="18" s="1"/>
  <c r="I286" i="18"/>
  <c r="H286" i="18"/>
  <c r="H285" i="18" s="1"/>
  <c r="H284" i="18" s="1"/>
  <c r="H283" i="18" s="1"/>
  <c r="H282" i="18" s="1"/>
  <c r="I285" i="18"/>
  <c r="I284" i="18" s="1"/>
  <c r="I283" i="18" s="1"/>
  <c r="I282" i="18" s="1"/>
  <c r="J279" i="18"/>
  <c r="J278" i="18" s="1"/>
  <c r="J277" i="18" s="1"/>
  <c r="J276" i="18" s="1"/>
  <c r="J275" i="18" s="1"/>
  <c r="I279" i="18"/>
  <c r="I278" i="18" s="1"/>
  <c r="I277" i="18" s="1"/>
  <c r="I276" i="18" s="1"/>
  <c r="I275" i="18" s="1"/>
  <c r="H279" i="18"/>
  <c r="H278" i="18" s="1"/>
  <c r="H277" i="18" s="1"/>
  <c r="H276" i="18" s="1"/>
  <c r="H275" i="18" s="1"/>
  <c r="J271" i="18"/>
  <c r="I271" i="18"/>
  <c r="H271" i="18"/>
  <c r="H269" i="18"/>
  <c r="H268" i="18" s="1"/>
  <c r="J268" i="18"/>
  <c r="J267" i="18" s="1"/>
  <c r="J266" i="18" s="1"/>
  <c r="J265" i="18" s="1"/>
  <c r="J264" i="18" s="1"/>
  <c r="I268" i="18"/>
  <c r="I267" i="18" s="1"/>
  <c r="I266" i="18" s="1"/>
  <c r="I265" i="18" s="1"/>
  <c r="I264" i="18" s="1"/>
  <c r="J259" i="18"/>
  <c r="J257" i="18" s="1"/>
  <c r="J256" i="18" s="1"/>
  <c r="J255" i="18" s="1"/>
  <c r="J254" i="18" s="1"/>
  <c r="J253" i="18" s="1"/>
  <c r="J252" i="18" s="1"/>
  <c r="I259" i="18"/>
  <c r="I257" i="18" s="1"/>
  <c r="I256" i="18" s="1"/>
  <c r="I255" i="18" s="1"/>
  <c r="I254" i="18" s="1"/>
  <c r="I253" i="18" s="1"/>
  <c r="I252" i="18" s="1"/>
  <c r="H259" i="18"/>
  <c r="H257" i="18" s="1"/>
  <c r="H256" i="18" s="1"/>
  <c r="H255" i="18" s="1"/>
  <c r="H254" i="18" s="1"/>
  <c r="H253" i="18" s="1"/>
  <c r="H252" i="18" s="1"/>
  <c r="J250" i="18"/>
  <c r="J249" i="18" s="1"/>
  <c r="J248" i="18" s="1"/>
  <c r="J247" i="18" s="1"/>
  <c r="J246" i="18" s="1"/>
  <c r="I250" i="18"/>
  <c r="H250" i="18"/>
  <c r="H249" i="18" s="1"/>
  <c r="H248" i="18" s="1"/>
  <c r="H247" i="18" s="1"/>
  <c r="I249" i="18"/>
  <c r="I248" i="18" s="1"/>
  <c r="I247" i="18" s="1"/>
  <c r="I246" i="18" s="1"/>
  <c r="H246" i="18"/>
  <c r="J244" i="18"/>
  <c r="J243" i="18" s="1"/>
  <c r="J242" i="18" s="1"/>
  <c r="I244" i="18"/>
  <c r="I243" i="18" s="1"/>
  <c r="I242" i="18" s="1"/>
  <c r="H244" i="18"/>
  <c r="H243" i="18" s="1"/>
  <c r="H242" i="18" s="1"/>
  <c r="J240" i="18"/>
  <c r="I240" i="18"/>
  <c r="H240" i="18"/>
  <c r="H239" i="18"/>
  <c r="H237" i="18" s="1"/>
  <c r="J237" i="18"/>
  <c r="I237" i="18"/>
  <c r="I236" i="18"/>
  <c r="J233" i="18"/>
  <c r="J232" i="18" s="1"/>
  <c r="I233" i="18"/>
  <c r="H233" i="18"/>
  <c r="H232" i="18" s="1"/>
  <c r="H231" i="18" s="1"/>
  <c r="I232" i="18"/>
  <c r="I231" i="18" s="1"/>
  <c r="J231" i="18"/>
  <c r="H229" i="18"/>
  <c r="H228" i="18" s="1"/>
  <c r="J228" i="18"/>
  <c r="I228" i="18"/>
  <c r="I227" i="18" s="1"/>
  <c r="J227" i="18"/>
  <c r="H227" i="18"/>
  <c r="H226" i="18"/>
  <c r="H225" i="18" s="1"/>
  <c r="H224" i="18" s="1"/>
  <c r="J225" i="18"/>
  <c r="J224" i="18" s="1"/>
  <c r="I225" i="18"/>
  <c r="I224" i="18" s="1"/>
  <c r="J216" i="18"/>
  <c r="J215" i="18" s="1"/>
  <c r="J214" i="18" s="1"/>
  <c r="J213" i="18" s="1"/>
  <c r="I216" i="18"/>
  <c r="H216" i="18"/>
  <c r="H215" i="18" s="1"/>
  <c r="H214" i="18" s="1"/>
  <c r="H213" i="18" s="1"/>
  <c r="I215" i="18"/>
  <c r="I214" i="18" s="1"/>
  <c r="I213" i="18" s="1"/>
  <c r="J211" i="18"/>
  <c r="J210" i="18" s="1"/>
  <c r="J209" i="18" s="1"/>
  <c r="J208" i="18" s="1"/>
  <c r="J207" i="18" s="1"/>
  <c r="J206" i="18" s="1"/>
  <c r="I211" i="18"/>
  <c r="H211" i="18"/>
  <c r="H210" i="18" s="1"/>
  <c r="H209" i="18" s="1"/>
  <c r="H208" i="18" s="1"/>
  <c r="H207" i="18" s="1"/>
  <c r="H206" i="18" s="1"/>
  <c r="I210" i="18"/>
  <c r="I209" i="18" s="1"/>
  <c r="I208" i="18" s="1"/>
  <c r="I207" i="18" s="1"/>
  <c r="I206" i="18" s="1"/>
  <c r="J204" i="18"/>
  <c r="J203" i="18" s="1"/>
  <c r="J202" i="18" s="1"/>
  <c r="J201" i="18" s="1"/>
  <c r="J200" i="18" s="1"/>
  <c r="J199" i="18" s="1"/>
  <c r="J198" i="18" s="1"/>
  <c r="I204" i="18"/>
  <c r="H204" i="18"/>
  <c r="H203" i="18" s="1"/>
  <c r="H202" i="18" s="1"/>
  <c r="H201" i="18" s="1"/>
  <c r="H200" i="18" s="1"/>
  <c r="H199" i="18" s="1"/>
  <c r="H198" i="18" s="1"/>
  <c r="I203" i="18"/>
  <c r="I202" i="18" s="1"/>
  <c r="I201" i="18" s="1"/>
  <c r="I200" i="18" s="1"/>
  <c r="I199" i="18" s="1"/>
  <c r="I198" i="18" s="1"/>
  <c r="J196" i="18"/>
  <c r="J195" i="18" s="1"/>
  <c r="J194" i="18" s="1"/>
  <c r="J193" i="18" s="1"/>
  <c r="J192" i="18" s="1"/>
  <c r="J191" i="18" s="1"/>
  <c r="J190" i="18" s="1"/>
  <c r="J189" i="18" s="1"/>
  <c r="I196" i="18"/>
  <c r="I195" i="18" s="1"/>
  <c r="I194" i="18" s="1"/>
  <c r="I193" i="18" s="1"/>
  <c r="I192" i="18" s="1"/>
  <c r="I191" i="18" s="1"/>
  <c r="I190" i="18" s="1"/>
  <c r="I189" i="18" s="1"/>
  <c r="H196" i="18"/>
  <c r="H195" i="18" s="1"/>
  <c r="H194" i="18" s="1"/>
  <c r="H193" i="18" s="1"/>
  <c r="H192" i="18" s="1"/>
  <c r="H191" i="18" s="1"/>
  <c r="H190" i="18" s="1"/>
  <c r="H189" i="18" s="1"/>
  <c r="J187" i="18"/>
  <c r="I187" i="18"/>
  <c r="H187" i="18"/>
  <c r="H186" i="18"/>
  <c r="H185" i="18" s="1"/>
  <c r="H184" i="18" s="1"/>
  <c r="H183" i="18" s="1"/>
  <c r="H182" i="18" s="1"/>
  <c r="H181" i="18" s="1"/>
  <c r="J185" i="18"/>
  <c r="I185" i="18"/>
  <c r="I184" i="18" s="1"/>
  <c r="I183" i="18" s="1"/>
  <c r="I182" i="18" s="1"/>
  <c r="I181" i="18" s="1"/>
  <c r="J184" i="18"/>
  <c r="J183" i="18" s="1"/>
  <c r="J182" i="18" s="1"/>
  <c r="J181" i="18" s="1"/>
  <c r="J179" i="18"/>
  <c r="I179" i="18"/>
  <c r="H179" i="18"/>
  <c r="H178" i="18"/>
  <c r="H176" i="18" s="1"/>
  <c r="J176" i="18"/>
  <c r="J175" i="18" s="1"/>
  <c r="J174" i="18" s="1"/>
  <c r="J173" i="18" s="1"/>
  <c r="J172" i="18" s="1"/>
  <c r="I176" i="18"/>
  <c r="I175" i="18" s="1"/>
  <c r="I174" i="18" s="1"/>
  <c r="I173" i="18" s="1"/>
  <c r="I172" i="18" s="1"/>
  <c r="J170" i="18"/>
  <c r="J169" i="18" s="1"/>
  <c r="J168" i="18" s="1"/>
  <c r="J167" i="18" s="1"/>
  <c r="J166" i="18" s="1"/>
  <c r="I170" i="18"/>
  <c r="I169" i="18" s="1"/>
  <c r="I168" i="18" s="1"/>
  <c r="I167" i="18" s="1"/>
  <c r="I166" i="18" s="1"/>
  <c r="H170" i="18"/>
  <c r="H169" i="18" s="1"/>
  <c r="H168" i="18" s="1"/>
  <c r="H167" i="18" s="1"/>
  <c r="H166" i="18" s="1"/>
  <c r="J164" i="18"/>
  <c r="I164" i="18"/>
  <c r="H164" i="18"/>
  <c r="L164" i="18" s="1"/>
  <c r="J162" i="18"/>
  <c r="I162" i="18"/>
  <c r="H162" i="18"/>
  <c r="L162" i="18" s="1"/>
  <c r="J156" i="18"/>
  <c r="I156" i="18"/>
  <c r="H156" i="18"/>
  <c r="J155" i="18"/>
  <c r="H155" i="18"/>
  <c r="H154" i="18" s="1"/>
  <c r="H153" i="18" s="1"/>
  <c r="H152" i="18" s="1"/>
  <c r="H151" i="18" s="1"/>
  <c r="H150" i="18" s="1"/>
  <c r="J154" i="18"/>
  <c r="I154" i="18"/>
  <c r="J141" i="18"/>
  <c r="I141" i="18"/>
  <c r="H141" i="18"/>
  <c r="J139" i="18"/>
  <c r="I139" i="18"/>
  <c r="H139" i="18"/>
  <c r="J132" i="18"/>
  <c r="I132" i="18"/>
  <c r="J129" i="18"/>
  <c r="I129" i="18"/>
  <c r="H129" i="18"/>
  <c r="L129" i="18" s="1"/>
  <c r="L464" i="18" s="1"/>
  <c r="J120" i="18"/>
  <c r="J119" i="18" s="1"/>
  <c r="J118" i="18" s="1"/>
  <c r="J117" i="18" s="1"/>
  <c r="I120" i="18"/>
  <c r="I119" i="18" s="1"/>
  <c r="I118" i="18" s="1"/>
  <c r="I117" i="18" s="1"/>
  <c r="H120" i="18"/>
  <c r="H119" i="18" s="1"/>
  <c r="H118" i="18" s="1"/>
  <c r="H117" i="18" s="1"/>
  <c r="J115" i="18"/>
  <c r="J114" i="18" s="1"/>
  <c r="J113" i="18" s="1"/>
  <c r="J112" i="18" s="1"/>
  <c r="I115" i="18"/>
  <c r="I114" i="18" s="1"/>
  <c r="I113" i="18" s="1"/>
  <c r="I112" i="18" s="1"/>
  <c r="H115" i="18"/>
  <c r="H114" i="18" s="1"/>
  <c r="H113" i="18" s="1"/>
  <c r="H112" i="18" s="1"/>
  <c r="J108" i="18"/>
  <c r="J107" i="18" s="1"/>
  <c r="J106" i="18" s="1"/>
  <c r="J105" i="18" s="1"/>
  <c r="J104" i="18" s="1"/>
  <c r="I108" i="18"/>
  <c r="I107" i="18" s="1"/>
  <c r="I106" i="18" s="1"/>
  <c r="I105" i="18" s="1"/>
  <c r="I104" i="18" s="1"/>
  <c r="H108" i="18"/>
  <c r="H107" i="18" s="1"/>
  <c r="H106" i="18" s="1"/>
  <c r="H105" i="18" s="1"/>
  <c r="H104" i="18" s="1"/>
  <c r="J102" i="18"/>
  <c r="J101" i="18" s="1"/>
  <c r="J100" i="18" s="1"/>
  <c r="J99" i="18" s="1"/>
  <c r="J98" i="18" s="1"/>
  <c r="I102" i="18"/>
  <c r="H102" i="18"/>
  <c r="H101" i="18" s="1"/>
  <c r="H100" i="18" s="1"/>
  <c r="H99" i="18" s="1"/>
  <c r="H98" i="18" s="1"/>
  <c r="I101" i="18"/>
  <c r="I100" i="18" s="1"/>
  <c r="I99" i="18" s="1"/>
  <c r="I98" i="18" s="1"/>
  <c r="J96" i="18"/>
  <c r="J95" i="18" s="1"/>
  <c r="J94" i="18" s="1"/>
  <c r="J93" i="18" s="1"/>
  <c r="J92" i="18" s="1"/>
  <c r="I96" i="18"/>
  <c r="I95" i="18" s="1"/>
  <c r="I94" i="18" s="1"/>
  <c r="I93" i="18" s="1"/>
  <c r="I92" i="18" s="1"/>
  <c r="H96" i="18"/>
  <c r="H95" i="18" s="1"/>
  <c r="H94" i="18" s="1"/>
  <c r="H93" i="18" s="1"/>
  <c r="H92" i="18" s="1"/>
  <c r="J89" i="18"/>
  <c r="J88" i="18" s="1"/>
  <c r="J87" i="18" s="1"/>
  <c r="J86" i="18" s="1"/>
  <c r="I89" i="18"/>
  <c r="I88" i="18" s="1"/>
  <c r="I87" i="18" s="1"/>
  <c r="I86" i="18" s="1"/>
  <c r="H89" i="18"/>
  <c r="H88" i="18" s="1"/>
  <c r="H87" i="18" s="1"/>
  <c r="H86" i="18" s="1"/>
  <c r="J83" i="18"/>
  <c r="I83" i="18"/>
  <c r="H83" i="18"/>
  <c r="J80" i="18"/>
  <c r="I80" i="18"/>
  <c r="H80" i="18"/>
  <c r="J75" i="18"/>
  <c r="J74" i="18" s="1"/>
  <c r="I75" i="18"/>
  <c r="I74" i="18" s="1"/>
  <c r="H75" i="18"/>
  <c r="H74" i="18" s="1"/>
  <c r="J72" i="18"/>
  <c r="I72" i="18"/>
  <c r="H72" i="18"/>
  <c r="J67" i="18"/>
  <c r="J66" i="18" s="1"/>
  <c r="J65" i="18" s="1"/>
  <c r="J64" i="18" s="1"/>
  <c r="J63" i="18" s="1"/>
  <c r="I67" i="18"/>
  <c r="H67" i="18"/>
  <c r="H66" i="18" s="1"/>
  <c r="H65" i="18" s="1"/>
  <c r="H64" i="18" s="1"/>
  <c r="H63" i="18" s="1"/>
  <c r="I66" i="18"/>
  <c r="I65" i="18" s="1"/>
  <c r="I64" i="18" s="1"/>
  <c r="I63" i="18" s="1"/>
  <c r="J61" i="18"/>
  <c r="I61" i="18"/>
  <c r="H61" i="18"/>
  <c r="J59" i="18"/>
  <c r="I59" i="18"/>
  <c r="H59" i="18"/>
  <c r="J57" i="18"/>
  <c r="I57" i="18"/>
  <c r="H57" i="18"/>
  <c r="H55" i="18"/>
  <c r="H54" i="18" s="1"/>
  <c r="H53" i="18" s="1"/>
  <c r="J54" i="18"/>
  <c r="J53" i="18" s="1"/>
  <c r="I54" i="18"/>
  <c r="I53" i="18" s="1"/>
  <c r="J49" i="18"/>
  <c r="I49" i="18"/>
  <c r="H49" i="18"/>
  <c r="J44" i="18"/>
  <c r="I44" i="18"/>
  <c r="H44" i="18"/>
  <c r="J40" i="18"/>
  <c r="I40" i="18"/>
  <c r="H40" i="18"/>
  <c r="J37" i="18"/>
  <c r="I37" i="18"/>
  <c r="H37" i="18"/>
  <c r="H33" i="18"/>
  <c r="H32" i="18" s="1"/>
  <c r="H31" i="18" s="1"/>
  <c r="J32" i="18"/>
  <c r="J31" i="18" s="1"/>
  <c r="I32" i="18"/>
  <c r="I31" i="18" s="1"/>
  <c r="H30" i="18"/>
  <c r="H29" i="18" s="1"/>
  <c r="H28" i="18" s="1"/>
  <c r="J29" i="18"/>
  <c r="J28" i="18" s="1"/>
  <c r="I29" i="18"/>
  <c r="I28" i="18" s="1"/>
  <c r="H27" i="18"/>
  <c r="H26" i="18" s="1"/>
  <c r="H25" i="18" s="1"/>
  <c r="J26" i="18"/>
  <c r="J25" i="18" s="1"/>
  <c r="I26" i="18"/>
  <c r="I25" i="18" s="1"/>
  <c r="H21" i="18"/>
  <c r="J20" i="18"/>
  <c r="J19" i="18" s="1"/>
  <c r="I20" i="18"/>
  <c r="I19" i="18" s="1"/>
  <c r="H20" i="18"/>
  <c r="H19" i="18" s="1"/>
  <c r="H18" i="18"/>
  <c r="H17" i="18" s="1"/>
  <c r="H16" i="18" s="1"/>
  <c r="J17" i="18"/>
  <c r="J16" i="18" s="1"/>
  <c r="I17" i="18"/>
  <c r="I16" i="18" s="1"/>
  <c r="H223" i="18" l="1"/>
  <c r="H222" i="18" s="1"/>
  <c r="H374" i="18"/>
  <c r="H373" i="18" s="1"/>
  <c r="H372" i="18" s="1"/>
  <c r="H300" i="18"/>
  <c r="H299" i="18" s="1"/>
  <c r="H298" i="18" s="1"/>
  <c r="H297" i="18" s="1"/>
  <c r="J364" i="18"/>
  <c r="J363" i="18" s="1"/>
  <c r="J362" i="18" s="1"/>
  <c r="J361" i="18" s="1"/>
  <c r="H442" i="18"/>
  <c r="H441" i="18" s="1"/>
  <c r="H440" i="18" s="1"/>
  <c r="J56" i="18"/>
  <c r="J52" i="18" s="1"/>
  <c r="H15" i="18"/>
  <c r="H14" i="18" s="1"/>
  <c r="H13" i="18" s="1"/>
  <c r="I79" i="18"/>
  <c r="I78" i="18" s="1"/>
  <c r="I77" i="18" s="1"/>
  <c r="H138" i="18"/>
  <c r="H137" i="18" s="1"/>
  <c r="H136" i="18" s="1"/>
  <c r="H135" i="18" s="1"/>
  <c r="I442" i="18"/>
  <c r="I441" i="18" s="1"/>
  <c r="I440" i="18" s="1"/>
  <c r="H439" i="18"/>
  <c r="H438" i="18" s="1"/>
  <c r="H437" i="18" s="1"/>
  <c r="J449" i="18"/>
  <c r="H36" i="18"/>
  <c r="I43" i="18"/>
  <c r="I56" i="18"/>
  <c r="I52" i="18" s="1"/>
  <c r="H56" i="18"/>
  <c r="H71" i="18"/>
  <c r="H70" i="18" s="1"/>
  <c r="J71" i="18"/>
  <c r="J70" i="18" s="1"/>
  <c r="J91" i="18"/>
  <c r="H128" i="18"/>
  <c r="H127" i="18" s="1"/>
  <c r="H126" i="18" s="1"/>
  <c r="H125" i="18" s="1"/>
  <c r="J128" i="18"/>
  <c r="J127" i="18" s="1"/>
  <c r="J126" i="18" s="1"/>
  <c r="J125" i="18" s="1"/>
  <c r="H161" i="18"/>
  <c r="H160" i="18" s="1"/>
  <c r="H159" i="18" s="1"/>
  <c r="H158" i="18" s="1"/>
  <c r="J161" i="18"/>
  <c r="J160" i="18" s="1"/>
  <c r="J159" i="18" s="1"/>
  <c r="J158" i="18" s="1"/>
  <c r="H267" i="18"/>
  <c r="H266" i="18" s="1"/>
  <c r="H265" i="18" s="1"/>
  <c r="H264" i="18" s="1"/>
  <c r="H291" i="18"/>
  <c r="H290" i="18" s="1"/>
  <c r="H289" i="18" s="1"/>
  <c r="H288" i="18" s="1"/>
  <c r="H274" i="18" s="1"/>
  <c r="H273" i="18" s="1"/>
  <c r="J291" i="18"/>
  <c r="J290" i="18" s="1"/>
  <c r="J289" i="18" s="1"/>
  <c r="J288" i="18" s="1"/>
  <c r="H341" i="18"/>
  <c r="H340" i="18" s="1"/>
  <c r="H339" i="18" s="1"/>
  <c r="H338" i="18" s="1"/>
  <c r="H337" i="18" s="1"/>
  <c r="H353" i="18"/>
  <c r="H352" i="18" s="1"/>
  <c r="H351" i="18" s="1"/>
  <c r="H350" i="18" s="1"/>
  <c r="H349" i="18" s="1"/>
  <c r="H348" i="18" s="1"/>
  <c r="J353" i="18"/>
  <c r="J352" i="18" s="1"/>
  <c r="J351" i="18" s="1"/>
  <c r="J350" i="18" s="1"/>
  <c r="J349" i="18" s="1"/>
  <c r="J348" i="18" s="1"/>
  <c r="J397" i="18"/>
  <c r="I452" i="18"/>
  <c r="I451" i="18" s="1"/>
  <c r="I450" i="18" s="1"/>
  <c r="I449" i="18" s="1"/>
  <c r="I439" i="18" s="1"/>
  <c r="I438" i="18" s="1"/>
  <c r="I437" i="18" s="1"/>
  <c r="H323" i="18"/>
  <c r="H322" i="18" s="1"/>
  <c r="H321" i="18" s="1"/>
  <c r="H320" i="18" s="1"/>
  <c r="J319" i="18"/>
  <c r="J374" i="18"/>
  <c r="J373" i="18" s="1"/>
  <c r="J372" i="18" s="1"/>
  <c r="I397" i="18"/>
  <c r="H397" i="18"/>
  <c r="J24" i="18"/>
  <c r="J23" i="18" s="1"/>
  <c r="I71" i="18"/>
  <c r="I70" i="18" s="1"/>
  <c r="I69" i="18" s="1"/>
  <c r="J153" i="18"/>
  <c r="J152" i="18" s="1"/>
  <c r="J151" i="18" s="1"/>
  <c r="J150" i="18" s="1"/>
  <c r="H175" i="18"/>
  <c r="H174" i="18" s="1"/>
  <c r="H173" i="18" s="1"/>
  <c r="H172" i="18" s="1"/>
  <c r="J36" i="18"/>
  <c r="H52" i="18"/>
  <c r="J111" i="18"/>
  <c r="J110" i="18" s="1"/>
  <c r="J138" i="18"/>
  <c r="J137" i="18" s="1"/>
  <c r="J136" i="18" s="1"/>
  <c r="J135" i="18" s="1"/>
  <c r="J223" i="18"/>
  <c r="J222" i="18" s="1"/>
  <c r="J300" i="18"/>
  <c r="J299" i="18" s="1"/>
  <c r="J298" i="18" s="1"/>
  <c r="J297" i="18" s="1"/>
  <c r="J341" i="18"/>
  <c r="J340" i="18" s="1"/>
  <c r="J339" i="18" s="1"/>
  <c r="J338" i="18" s="1"/>
  <c r="J337" i="18" s="1"/>
  <c r="H403" i="18"/>
  <c r="H396" i="18" s="1"/>
  <c r="H395" i="18" s="1"/>
  <c r="J403" i="18"/>
  <c r="J396" i="18" s="1"/>
  <c r="J395" i="18" s="1"/>
  <c r="I403" i="18"/>
  <c r="I15" i="18"/>
  <c r="I14" i="18" s="1"/>
  <c r="I13" i="18" s="1"/>
  <c r="H24" i="18"/>
  <c r="H23" i="18" s="1"/>
  <c r="I36" i="18"/>
  <c r="I35" i="18" s="1"/>
  <c r="I34" i="18" s="1"/>
  <c r="H43" i="18"/>
  <c r="J43" i="18"/>
  <c r="J35" i="18" s="1"/>
  <c r="J34" i="18" s="1"/>
  <c r="J22" i="18" s="1"/>
  <c r="H79" i="18"/>
  <c r="H78" i="18" s="1"/>
  <c r="H77" i="18" s="1"/>
  <c r="J79" i="18"/>
  <c r="J78" i="18" s="1"/>
  <c r="J77" i="18" s="1"/>
  <c r="J69" i="18" s="1"/>
  <c r="I91" i="18"/>
  <c r="I111" i="18"/>
  <c r="I110" i="18" s="1"/>
  <c r="I128" i="18"/>
  <c r="I127" i="18" s="1"/>
  <c r="I126" i="18" s="1"/>
  <c r="I125" i="18" s="1"/>
  <c r="I138" i="18"/>
  <c r="I137" i="18" s="1"/>
  <c r="I136" i="18" s="1"/>
  <c r="I135" i="18" s="1"/>
  <c r="I153" i="18"/>
  <c r="I152" i="18" s="1"/>
  <c r="I151" i="18" s="1"/>
  <c r="I150" i="18" s="1"/>
  <c r="I161" i="18"/>
  <c r="I160" i="18" s="1"/>
  <c r="I159" i="18" s="1"/>
  <c r="I158" i="18" s="1"/>
  <c r="I291" i="18"/>
  <c r="I290" i="18" s="1"/>
  <c r="I289" i="18" s="1"/>
  <c r="I288" i="18" s="1"/>
  <c r="I300" i="18"/>
  <c r="I299" i="18" s="1"/>
  <c r="I298" i="18" s="1"/>
  <c r="I297" i="18" s="1"/>
  <c r="I274" i="18" s="1"/>
  <c r="I273" i="18" s="1"/>
  <c r="I319" i="18"/>
  <c r="I341" i="18"/>
  <c r="I340" i="18" s="1"/>
  <c r="I339" i="18" s="1"/>
  <c r="I338" i="18" s="1"/>
  <c r="I337" i="18" s="1"/>
  <c r="I353" i="18"/>
  <c r="I352" i="18" s="1"/>
  <c r="I351" i="18" s="1"/>
  <c r="I350" i="18" s="1"/>
  <c r="I349" i="18" s="1"/>
  <c r="I348" i="18" s="1"/>
  <c r="I388" i="18"/>
  <c r="I387" i="18" s="1"/>
  <c r="H413" i="18"/>
  <c r="H412" i="18" s="1"/>
  <c r="J413" i="18"/>
  <c r="J412" i="18" s="1"/>
  <c r="I413" i="18"/>
  <c r="I412" i="18" s="1"/>
  <c r="I418" i="18"/>
  <c r="J442" i="18"/>
  <c r="J441" i="18" s="1"/>
  <c r="J440" i="18" s="1"/>
  <c r="J439" i="18" s="1"/>
  <c r="J438" i="18" s="1"/>
  <c r="J437" i="18" s="1"/>
  <c r="J15" i="18"/>
  <c r="J14" i="18" s="1"/>
  <c r="J13" i="18" s="1"/>
  <c r="I24" i="18"/>
  <c r="I23" i="18" s="1"/>
  <c r="H91" i="18"/>
  <c r="H111" i="18"/>
  <c r="H110" i="18" s="1"/>
  <c r="I262" i="18"/>
  <c r="I263" i="18"/>
  <c r="I223" i="18"/>
  <c r="I222" i="18" s="1"/>
  <c r="I230" i="18"/>
  <c r="H236" i="18"/>
  <c r="H230" i="18" s="1"/>
  <c r="H221" i="18" s="1"/>
  <c r="H220" i="18" s="1"/>
  <c r="H219" i="18" s="1"/>
  <c r="J236" i="18"/>
  <c r="J230" i="18" s="1"/>
  <c r="J221" i="18" s="1"/>
  <c r="J220" i="18" s="1"/>
  <c r="J219" i="18" s="1"/>
  <c r="H263" i="18"/>
  <c r="H262" i="18"/>
  <c r="J263" i="18"/>
  <c r="J262" i="18"/>
  <c r="J274" i="18"/>
  <c r="J273" i="18" s="1"/>
  <c r="H319" i="18"/>
  <c r="J318" i="18"/>
  <c r="J418" i="18"/>
  <c r="H418" i="18"/>
  <c r="I364" i="18"/>
  <c r="I363" i="18" s="1"/>
  <c r="I362" i="18" s="1"/>
  <c r="I361" i="18" s="1"/>
  <c r="I374" i="18"/>
  <c r="I373" i="18" s="1"/>
  <c r="I372" i="18" s="1"/>
  <c r="J388" i="18"/>
  <c r="J387" i="18" s="1"/>
  <c r="I22" i="18" l="1"/>
  <c r="I12" i="18" s="1"/>
  <c r="I11" i="18" s="1"/>
  <c r="H318" i="18"/>
  <c r="H69" i="18"/>
  <c r="H12" i="18" s="1"/>
  <c r="H11" i="18" s="1"/>
  <c r="H35" i="18"/>
  <c r="H34" i="18" s="1"/>
  <c r="H22" i="18" s="1"/>
  <c r="I396" i="18"/>
  <c r="I395" i="18" s="1"/>
  <c r="J124" i="18"/>
  <c r="H124" i="18"/>
  <c r="H123" i="18" s="1"/>
  <c r="H122" i="18" s="1"/>
  <c r="J123" i="18"/>
  <c r="J122" i="18" s="1"/>
  <c r="J386" i="18"/>
  <c r="J371" i="18" s="1"/>
  <c r="J360" i="18" s="1"/>
  <c r="J359" i="18" s="1"/>
  <c r="H386" i="18"/>
  <c r="H371" i="18" s="1"/>
  <c r="H360" i="18" s="1"/>
  <c r="H359" i="18" s="1"/>
  <c r="I124" i="18"/>
  <c r="I123" i="18" s="1"/>
  <c r="I122" i="18" s="1"/>
  <c r="J218" i="18"/>
  <c r="H218" i="18"/>
  <c r="J12" i="18"/>
  <c r="J11" i="18" s="1"/>
  <c r="I386" i="18"/>
  <c r="I371" i="18" s="1"/>
  <c r="I360" i="18" s="1"/>
  <c r="I359" i="18" s="1"/>
  <c r="I318" i="18"/>
  <c r="I221" i="18"/>
  <c r="I220" i="18" s="1"/>
  <c r="I219" i="18" s="1"/>
  <c r="I10" i="18" l="1"/>
  <c r="H10" i="18"/>
  <c r="H462" i="18" s="1"/>
  <c r="J10" i="18"/>
  <c r="J462" i="18" s="1"/>
  <c r="I218" i="18"/>
  <c r="I462" i="18" l="1"/>
  <c r="G67" i="8"/>
  <c r="G65" i="8"/>
  <c r="G94" i="8" l="1"/>
  <c r="D16" i="10"/>
  <c r="E16" i="10"/>
  <c r="G20" i="8" l="1"/>
  <c r="G131" i="8" l="1"/>
  <c r="G73" i="8"/>
  <c r="G59" i="8"/>
  <c r="G18" i="8"/>
  <c r="G15" i="8"/>
  <c r="E23" i="17" l="1"/>
  <c r="E41" i="17"/>
  <c r="H25" i="17"/>
  <c r="E24" i="17" l="1"/>
  <c r="G57" i="17" l="1"/>
  <c r="G56" i="17" s="1"/>
  <c r="F57" i="17"/>
  <c r="F56" i="17" s="1"/>
  <c r="E57" i="17"/>
  <c r="E56" i="17" s="1"/>
  <c r="G53" i="17"/>
  <c r="G52" i="17" s="1"/>
  <c r="F53" i="17"/>
  <c r="F52" i="17" s="1"/>
  <c r="F51" i="17" s="1"/>
  <c r="F50" i="17" s="1"/>
  <c r="F49" i="17" s="1"/>
  <c r="E53" i="17"/>
  <c r="E52" i="17"/>
  <c r="G41" i="17"/>
  <c r="G40" i="17" s="1"/>
  <c r="F41" i="17"/>
  <c r="F40" i="17" s="1"/>
  <c r="E40" i="17"/>
  <c r="G38" i="17"/>
  <c r="F38" i="17"/>
  <c r="E38" i="17"/>
  <c r="G34" i="17"/>
  <c r="F34" i="17"/>
  <c r="E34" i="17"/>
  <c r="G33" i="17"/>
  <c r="G32" i="17" s="1"/>
  <c r="G29" i="17" s="1"/>
  <c r="F33" i="17"/>
  <c r="F32" i="17" s="1"/>
  <c r="E33" i="17"/>
  <c r="E32" i="17"/>
  <c r="E29" i="17" s="1"/>
  <c r="G30" i="17"/>
  <c r="F30" i="17"/>
  <c r="E30" i="17"/>
  <c r="G27" i="17"/>
  <c r="F27" i="17"/>
  <c r="E27" i="17"/>
  <c r="G24" i="17"/>
  <c r="F24" i="17"/>
  <c r="G20" i="17"/>
  <c r="F20" i="17"/>
  <c r="E20" i="17"/>
  <c r="G17" i="17"/>
  <c r="G16" i="17" s="1"/>
  <c r="G15" i="17" s="1"/>
  <c r="F17" i="17"/>
  <c r="E17" i="17"/>
  <c r="F16" i="17" l="1"/>
  <c r="F15" i="17" s="1"/>
  <c r="E16" i="17"/>
  <c r="E15" i="17" s="1"/>
  <c r="E36" i="17"/>
  <c r="E14" i="17" s="1"/>
  <c r="G36" i="17"/>
  <c r="F29" i="17"/>
  <c r="G14" i="17"/>
  <c r="G51" i="17"/>
  <c r="G50" i="17" s="1"/>
  <c r="G49" i="17" s="1"/>
  <c r="F36" i="17"/>
  <c r="E51" i="17"/>
  <c r="E50" i="17" s="1"/>
  <c r="E49" i="17" s="1"/>
  <c r="F112" i="9"/>
  <c r="F111" i="9" s="1"/>
  <c r="E60" i="17" l="1"/>
  <c r="C16" i="10" s="1"/>
  <c r="F14" i="17"/>
  <c r="F60" i="17" s="1"/>
  <c r="G60" i="17"/>
  <c r="H67" i="8" l="1"/>
  <c r="G35" i="8" l="1"/>
  <c r="G117" i="8" l="1"/>
  <c r="H141" i="8" l="1"/>
  <c r="I141" i="8"/>
  <c r="G141" i="8"/>
  <c r="H140" i="8"/>
  <c r="G40" i="9" l="1"/>
  <c r="H40" i="9"/>
  <c r="F40" i="9"/>
  <c r="G41" i="9"/>
  <c r="H41" i="9"/>
  <c r="F41" i="9"/>
  <c r="H68" i="8"/>
  <c r="F39" i="9" l="1"/>
  <c r="G39" i="9"/>
  <c r="H39" i="9"/>
  <c r="I139" i="8"/>
  <c r="G139" i="8"/>
  <c r="G138" i="8" l="1"/>
  <c r="H59" i="8"/>
  <c r="H38" i="9"/>
  <c r="H37" i="9" s="1"/>
  <c r="H36" i="9" s="1"/>
  <c r="F38" i="9"/>
  <c r="F37" i="9" s="1"/>
  <c r="F36" i="9" s="1"/>
  <c r="G87" i="9"/>
  <c r="G86" i="9" s="1"/>
  <c r="F87" i="9"/>
  <c r="F86" i="9" s="1"/>
  <c r="I59" i="8"/>
  <c r="I69" i="8"/>
  <c r="H87" i="9" l="1"/>
  <c r="H86" i="9" s="1"/>
  <c r="I68" i="8"/>
  <c r="H139" i="8" l="1"/>
  <c r="H138" i="8" s="1"/>
  <c r="G38" i="9"/>
  <c r="G37" i="9" s="1"/>
  <c r="G36" i="9" s="1"/>
  <c r="I19" i="8"/>
  <c r="H19" i="8"/>
  <c r="H125" i="8" l="1"/>
  <c r="I125" i="8"/>
  <c r="H137" i="8" l="1"/>
  <c r="H136" i="8" s="1"/>
  <c r="G137" i="8" l="1"/>
  <c r="G136" i="8" s="1"/>
  <c r="I138" i="8"/>
  <c r="I137" i="8" s="1"/>
  <c r="I136" i="8" s="1"/>
  <c r="I67" i="8" l="1"/>
  <c r="G51" i="9" l="1"/>
  <c r="H51" i="9"/>
  <c r="G47" i="9"/>
  <c r="H47" i="9"/>
  <c r="G44" i="9"/>
  <c r="H44" i="9"/>
  <c r="G35" i="9"/>
  <c r="H35" i="9"/>
  <c r="G32" i="9"/>
  <c r="H32" i="9"/>
  <c r="H22" i="9"/>
  <c r="G22" i="9"/>
  <c r="G63" i="8" l="1"/>
  <c r="G108" i="9"/>
  <c r="G107" i="9" s="1"/>
  <c r="H108" i="9"/>
  <c r="H107" i="9" s="1"/>
  <c r="F108" i="9"/>
  <c r="F107" i="9" s="1"/>
  <c r="H89" i="8"/>
  <c r="I89" i="8"/>
  <c r="G89" i="8"/>
  <c r="I55" i="8" l="1"/>
  <c r="H73" i="9" s="1"/>
  <c r="H55" i="8"/>
  <c r="I65" i="8"/>
  <c r="H65" i="8"/>
  <c r="G83" i="9" s="1"/>
  <c r="H77" i="9"/>
  <c r="H71" i="9"/>
  <c r="G71" i="9"/>
  <c r="G73" i="9"/>
  <c r="G77" i="9"/>
  <c r="G79" i="9"/>
  <c r="H79" i="9"/>
  <c r="G81" i="9"/>
  <c r="H81" i="9"/>
  <c r="H83" i="9"/>
  <c r="G85" i="9"/>
  <c r="H85" i="9"/>
  <c r="G91" i="9"/>
  <c r="H91" i="9"/>
  <c r="G95" i="9"/>
  <c r="H95" i="9"/>
  <c r="G98" i="9"/>
  <c r="H98" i="9"/>
  <c r="G100" i="9"/>
  <c r="H100" i="9"/>
  <c r="G112" i="9"/>
  <c r="H112" i="9"/>
  <c r="G117" i="9"/>
  <c r="H117" i="9"/>
  <c r="G114" i="9"/>
  <c r="H114" i="9"/>
  <c r="G126" i="9"/>
  <c r="H126" i="9"/>
  <c r="G121" i="9"/>
  <c r="H121" i="9"/>
  <c r="G124" i="9"/>
  <c r="H124" i="9"/>
  <c r="G134" i="9"/>
  <c r="H134" i="9"/>
  <c r="G130" i="9"/>
  <c r="H130" i="9"/>
  <c r="G61" i="9"/>
  <c r="H61" i="9"/>
  <c r="G57" i="9"/>
  <c r="G56" i="9" s="1"/>
  <c r="H57" i="9"/>
  <c r="F57" i="9"/>
  <c r="F56" i="9" s="1"/>
  <c r="H56" i="9"/>
  <c r="G102" i="9"/>
  <c r="H102" i="9"/>
  <c r="G104" i="9"/>
  <c r="H104" i="9"/>
  <c r="G106" i="9"/>
  <c r="H106" i="9"/>
  <c r="F106" i="9"/>
  <c r="H38" i="8"/>
  <c r="I38" i="8"/>
  <c r="G38" i="8"/>
  <c r="G65" i="9" l="1"/>
  <c r="H65" i="9"/>
  <c r="G67" i="9"/>
  <c r="G66" i="9" s="1"/>
  <c r="H67" i="9"/>
  <c r="F67" i="9"/>
  <c r="H66" i="9"/>
  <c r="F66" i="9"/>
  <c r="H48" i="8"/>
  <c r="I48" i="8"/>
  <c r="G48" i="8"/>
  <c r="G23" i="9"/>
  <c r="H23" i="9"/>
  <c r="G19" i="9"/>
  <c r="H19" i="9"/>
  <c r="H35" i="8"/>
  <c r="G53" i="9" s="1"/>
  <c r="I35" i="8"/>
  <c r="H53" i="9" s="1"/>
  <c r="H117" i="8"/>
  <c r="I117" i="8"/>
  <c r="G120" i="8"/>
  <c r="H120" i="8"/>
  <c r="G17" i="9" s="1"/>
  <c r="I120" i="8"/>
  <c r="H17" i="9" s="1"/>
  <c r="G124" i="8"/>
  <c r="G123" i="8" s="1"/>
  <c r="H124" i="8"/>
  <c r="G21" i="9" s="1"/>
  <c r="I124" i="8"/>
  <c r="H21" i="9" s="1"/>
  <c r="H18" i="8"/>
  <c r="G28" i="9" s="1"/>
  <c r="I18" i="8"/>
  <c r="H28" i="9" s="1"/>
  <c r="H16" i="8"/>
  <c r="G26" i="9" s="1"/>
  <c r="G25" i="9" s="1"/>
  <c r="I16" i="8"/>
  <c r="H26" i="9" s="1"/>
  <c r="H25" i="9" s="1"/>
  <c r="G14" i="9" l="1"/>
  <c r="G13" i="9" s="1"/>
  <c r="G12" i="9" s="1"/>
  <c r="H14" i="9"/>
  <c r="H13" i="9" s="1"/>
  <c r="H12" i="9" s="1"/>
  <c r="H29" i="9"/>
  <c r="G29" i="9"/>
  <c r="G36" i="8" l="1"/>
  <c r="G34" i="8" s="1"/>
  <c r="I20" i="8" l="1"/>
  <c r="H30" i="9" s="1"/>
  <c r="H20" i="8"/>
  <c r="G30" i="9" s="1"/>
  <c r="I33" i="8"/>
  <c r="H33" i="8"/>
  <c r="G33" i="8"/>
  <c r="I24" i="8" l="1"/>
  <c r="H34" i="9" s="1"/>
  <c r="H24" i="8"/>
  <c r="G34" i="9" s="1"/>
  <c r="G24" i="8"/>
  <c r="I36" i="8" l="1"/>
  <c r="H54" i="9" s="1"/>
  <c r="H36" i="8"/>
  <c r="G54" i="9" s="1"/>
  <c r="H34" i="8" l="1"/>
  <c r="D15" i="10"/>
  <c r="D14" i="10" s="1"/>
  <c r="D13" i="10" s="1"/>
  <c r="E15" i="10"/>
  <c r="E14" i="10" s="1"/>
  <c r="E13" i="10" s="1"/>
  <c r="G133" i="9" l="1"/>
  <c r="G132" i="9" s="1"/>
  <c r="G131" i="9" s="1"/>
  <c r="H133" i="9"/>
  <c r="H132" i="9" s="1"/>
  <c r="H131" i="9" s="1"/>
  <c r="G129" i="9"/>
  <c r="G128" i="9" s="1"/>
  <c r="G127" i="9" s="1"/>
  <c r="H129" i="9"/>
  <c r="H128" i="9" s="1"/>
  <c r="H127" i="9" s="1"/>
  <c r="G125" i="9"/>
  <c r="H125" i="9"/>
  <c r="G123" i="9"/>
  <c r="G122" i="9" s="1"/>
  <c r="H123" i="9"/>
  <c r="H122" i="9" s="1"/>
  <c r="G120" i="9"/>
  <c r="G119" i="9" s="1"/>
  <c r="H120" i="9"/>
  <c r="H119" i="9" s="1"/>
  <c r="G116" i="9"/>
  <c r="G115" i="9" s="1"/>
  <c r="H116" i="9"/>
  <c r="H115" i="9" s="1"/>
  <c r="G113" i="9"/>
  <c r="H113" i="9"/>
  <c r="G111" i="9"/>
  <c r="G110" i="9" s="1"/>
  <c r="H111" i="9"/>
  <c r="H110" i="9" s="1"/>
  <c r="G101" i="9"/>
  <c r="H101" i="9"/>
  <c r="G99" i="9"/>
  <c r="H99" i="9"/>
  <c r="G97" i="9"/>
  <c r="H97" i="9"/>
  <c r="G103" i="9"/>
  <c r="H103" i="9"/>
  <c r="G94" i="9"/>
  <c r="G93" i="9" s="1"/>
  <c r="H94" i="9"/>
  <c r="H93" i="9" s="1"/>
  <c r="G90" i="9"/>
  <c r="G88" i="9" s="1"/>
  <c r="H90" i="9"/>
  <c r="H88" i="9" s="1"/>
  <c r="G84" i="9"/>
  <c r="H84" i="9"/>
  <c r="G82" i="9"/>
  <c r="H82" i="9"/>
  <c r="G80" i="9"/>
  <c r="H80" i="9"/>
  <c r="G78" i="9"/>
  <c r="H78" i="9"/>
  <c r="G76" i="9"/>
  <c r="H76" i="9"/>
  <c r="G72" i="9"/>
  <c r="H72" i="9"/>
  <c r="G70" i="9"/>
  <c r="G69" i="9" s="1"/>
  <c r="H70" i="9"/>
  <c r="H69" i="9" s="1"/>
  <c r="G64" i="9"/>
  <c r="G63" i="9" s="1"/>
  <c r="H64" i="9"/>
  <c r="H63" i="9" s="1"/>
  <c r="G60" i="9"/>
  <c r="G59" i="9" s="1"/>
  <c r="G58" i="9" s="1"/>
  <c r="H60" i="9"/>
  <c r="H59" i="9" s="1"/>
  <c r="H58" i="9" s="1"/>
  <c r="H105" i="9"/>
  <c r="G105" i="9"/>
  <c r="G52" i="9"/>
  <c r="H52" i="9"/>
  <c r="G50" i="9"/>
  <c r="H50" i="9"/>
  <c r="G46" i="9"/>
  <c r="H46" i="9"/>
  <c r="G43" i="9"/>
  <c r="G42" i="9" s="1"/>
  <c r="H43" i="9"/>
  <c r="H42" i="9" s="1"/>
  <c r="G33" i="9"/>
  <c r="H33" i="9"/>
  <c r="G31" i="9"/>
  <c r="H31" i="9"/>
  <c r="G27" i="9"/>
  <c r="G24" i="9" s="1"/>
  <c r="H27" i="9"/>
  <c r="H24" i="9" s="1"/>
  <c r="G20" i="9"/>
  <c r="H20" i="9"/>
  <c r="G18" i="9"/>
  <c r="H18" i="9"/>
  <c r="G16" i="9"/>
  <c r="H16" i="9"/>
  <c r="H15" i="9" s="1"/>
  <c r="H134" i="8"/>
  <c r="H133" i="8" s="1"/>
  <c r="H132" i="8" s="1"/>
  <c r="I134" i="8"/>
  <c r="I133" i="8" s="1"/>
  <c r="I132" i="8" s="1"/>
  <c r="H130" i="8"/>
  <c r="I130" i="8"/>
  <c r="H128" i="8"/>
  <c r="I128" i="8"/>
  <c r="I127" i="8" s="1"/>
  <c r="H123" i="8"/>
  <c r="I123" i="8"/>
  <c r="H121" i="8"/>
  <c r="I121" i="8"/>
  <c r="H119" i="8"/>
  <c r="I119" i="8"/>
  <c r="H116" i="8"/>
  <c r="H115" i="8" s="1"/>
  <c r="I116" i="8"/>
  <c r="I115" i="8" s="1"/>
  <c r="H111" i="8"/>
  <c r="H110" i="8" s="1"/>
  <c r="H109" i="8" s="1"/>
  <c r="I111" i="8"/>
  <c r="I110" i="8" s="1"/>
  <c r="I109" i="8" s="1"/>
  <c r="H107" i="8"/>
  <c r="I107" i="8"/>
  <c r="H105" i="8"/>
  <c r="H104" i="8" s="1"/>
  <c r="I105" i="8"/>
  <c r="I104" i="8" s="1"/>
  <c r="H102" i="8"/>
  <c r="H101" i="8" s="1"/>
  <c r="I102" i="8"/>
  <c r="I101" i="8" s="1"/>
  <c r="H98" i="8"/>
  <c r="H97" i="8" s="1"/>
  <c r="I98" i="8"/>
  <c r="I97" i="8" s="1"/>
  <c r="H95" i="8"/>
  <c r="I95" i="8"/>
  <c r="H93" i="8"/>
  <c r="H92" i="8" s="1"/>
  <c r="H91" i="8" s="1"/>
  <c r="I93" i="8"/>
  <c r="I92" i="8" s="1"/>
  <c r="I91" i="8" s="1"/>
  <c r="H85" i="8"/>
  <c r="I85" i="8"/>
  <c r="H83" i="8"/>
  <c r="I83" i="8"/>
  <c r="H81" i="8"/>
  <c r="I81" i="8"/>
  <c r="H79" i="8"/>
  <c r="I79" i="8"/>
  <c r="H76" i="8"/>
  <c r="H75" i="8" s="1"/>
  <c r="I76" i="8"/>
  <c r="I75" i="8" s="1"/>
  <c r="H72" i="8"/>
  <c r="H70" i="8" s="1"/>
  <c r="I72" i="8"/>
  <c r="I70" i="8" s="1"/>
  <c r="H66" i="8"/>
  <c r="I66" i="8"/>
  <c r="H64" i="8"/>
  <c r="I64" i="8"/>
  <c r="H62" i="8"/>
  <c r="I62" i="8"/>
  <c r="H60" i="8"/>
  <c r="I60" i="8"/>
  <c r="H58" i="8"/>
  <c r="I58" i="8"/>
  <c r="H54" i="8"/>
  <c r="I54" i="8"/>
  <c r="H52" i="8"/>
  <c r="H51" i="8" s="1"/>
  <c r="I52" i="8"/>
  <c r="I51" i="8" s="1"/>
  <c r="H46" i="8"/>
  <c r="I46" i="8"/>
  <c r="H42" i="8"/>
  <c r="I42" i="8"/>
  <c r="H87" i="8"/>
  <c r="I87" i="8"/>
  <c r="I34" i="8"/>
  <c r="H32" i="8"/>
  <c r="I32" i="8"/>
  <c r="H30" i="8"/>
  <c r="H29" i="8" s="1"/>
  <c r="I30" i="8"/>
  <c r="H27" i="8"/>
  <c r="H26" i="8" s="1"/>
  <c r="I27" i="8"/>
  <c r="I26" i="8" s="1"/>
  <c r="H23" i="8"/>
  <c r="I23" i="8"/>
  <c r="H21" i="8"/>
  <c r="I21" i="8"/>
  <c r="H17" i="8"/>
  <c r="I17" i="8"/>
  <c r="H15" i="8"/>
  <c r="I15" i="8"/>
  <c r="H50" i="8" l="1"/>
  <c r="H68" i="9"/>
  <c r="G68" i="9"/>
  <c r="G15" i="9"/>
  <c r="I29" i="8"/>
  <c r="H41" i="8"/>
  <c r="H40" i="8" s="1"/>
  <c r="G49" i="9"/>
  <c r="G48" i="9" s="1"/>
  <c r="G45" i="9" s="1"/>
  <c r="I41" i="8"/>
  <c r="I40" i="8" s="1"/>
  <c r="H49" i="9"/>
  <c r="H48" i="9" s="1"/>
  <c r="H45" i="9" s="1"/>
  <c r="H11" i="9" s="1"/>
  <c r="H78" i="8"/>
  <c r="I78" i="8"/>
  <c r="I74" i="8" s="1"/>
  <c r="H96" i="9"/>
  <c r="H92" i="9" s="1"/>
  <c r="G96" i="9"/>
  <c r="G92" i="9" s="1"/>
  <c r="H74" i="8"/>
  <c r="I45" i="8"/>
  <c r="I44" i="8" s="1"/>
  <c r="H45" i="8"/>
  <c r="H44" i="8" s="1"/>
  <c r="H62" i="9"/>
  <c r="G62" i="9"/>
  <c r="I50" i="8"/>
  <c r="H127" i="8"/>
  <c r="I118" i="8"/>
  <c r="I114" i="8" s="1"/>
  <c r="I113" i="8" s="1"/>
  <c r="H118" i="8"/>
  <c r="H114" i="8" s="1"/>
  <c r="H113" i="8" s="1"/>
  <c r="I14" i="8"/>
  <c r="H14" i="8"/>
  <c r="G118" i="9"/>
  <c r="H118" i="9"/>
  <c r="G109" i="9"/>
  <c r="H109" i="9"/>
  <c r="G89" i="9"/>
  <c r="H89" i="9"/>
  <c r="H100" i="8"/>
  <c r="I100" i="8"/>
  <c r="H71" i="8"/>
  <c r="I71" i="8"/>
  <c r="G11" i="9" l="1"/>
  <c r="G135" i="9" s="1"/>
  <c r="H135" i="9"/>
  <c r="H155" i="9" s="1"/>
  <c r="J155" i="9" s="1"/>
  <c r="I13" i="8"/>
  <c r="I12" i="8" s="1"/>
  <c r="I144" i="8" s="1"/>
  <c r="H13" i="8"/>
  <c r="H12" i="8" s="1"/>
  <c r="H144" i="8" s="1"/>
  <c r="H149" i="8" s="1"/>
  <c r="H150" i="8" l="1"/>
  <c r="I149" i="8"/>
  <c r="I150" i="8" s="1"/>
  <c r="K135" i="9"/>
  <c r="D20" i="10"/>
  <c r="D19" i="10" s="1"/>
  <c r="D18" i="10" s="1"/>
  <c r="L135" i="9"/>
  <c r="E20" i="10"/>
  <c r="E19" i="10" s="1"/>
  <c r="E18" i="10" s="1"/>
  <c r="E17" i="10" l="1"/>
  <c r="E12" i="10"/>
  <c r="E11" i="10" s="1"/>
  <c r="D17" i="10"/>
  <c r="D12" i="10"/>
  <c r="D11" i="10" s="1"/>
  <c r="G76" i="8" l="1"/>
  <c r="G32" i="8" l="1"/>
  <c r="G128" i="8"/>
  <c r="F49" i="9" l="1"/>
  <c r="F48" i="9" s="1"/>
  <c r="C15" i="10" l="1"/>
  <c r="C14" i="10" s="1"/>
  <c r="C13" i="10" s="1"/>
  <c r="F134" i="9" l="1"/>
  <c r="F133" i="9" s="1"/>
  <c r="F132" i="9" s="1"/>
  <c r="F131" i="9" s="1"/>
  <c r="F130" i="9"/>
  <c r="F129" i="9" s="1"/>
  <c r="F128" i="9" s="1"/>
  <c r="F127" i="9" s="1"/>
  <c r="F126" i="9"/>
  <c r="F125" i="9" s="1"/>
  <c r="F124" i="9"/>
  <c r="F123" i="9" s="1"/>
  <c r="F121" i="9"/>
  <c r="F120" i="9" s="1"/>
  <c r="F119" i="9" s="1"/>
  <c r="F117" i="9"/>
  <c r="F116" i="9" s="1"/>
  <c r="F115" i="9" s="1"/>
  <c r="F114" i="9"/>
  <c r="F113" i="9" s="1"/>
  <c r="F110" i="9" s="1"/>
  <c r="F102" i="9"/>
  <c r="F101" i="9" s="1"/>
  <c r="F100" i="9"/>
  <c r="F99" i="9" s="1"/>
  <c r="F98" i="9"/>
  <c r="F97" i="9" s="1"/>
  <c r="F104" i="9"/>
  <c r="F103" i="9" s="1"/>
  <c r="F95" i="9"/>
  <c r="F94" i="9" s="1"/>
  <c r="F93" i="9" s="1"/>
  <c r="F91" i="9"/>
  <c r="F90" i="9" s="1"/>
  <c r="F85" i="9"/>
  <c r="F84" i="9" s="1"/>
  <c r="F83" i="9"/>
  <c r="F82" i="9" s="1"/>
  <c r="F81" i="9"/>
  <c r="F80" i="9" s="1"/>
  <c r="F79" i="9"/>
  <c r="F78" i="9" s="1"/>
  <c r="F77" i="9"/>
  <c r="F76" i="9" s="1"/>
  <c r="F73" i="9"/>
  <c r="F72" i="9" s="1"/>
  <c r="F71" i="9"/>
  <c r="F70" i="9" s="1"/>
  <c r="F65" i="9"/>
  <c r="F64" i="9" s="1"/>
  <c r="F63" i="9" s="1"/>
  <c r="F61" i="9"/>
  <c r="F60" i="9" s="1"/>
  <c r="F59" i="9" s="1"/>
  <c r="F58" i="9" s="1"/>
  <c r="F105" i="9"/>
  <c r="F54" i="9"/>
  <c r="F53" i="9"/>
  <c r="F51" i="9"/>
  <c r="F50" i="9" s="1"/>
  <c r="F47" i="9"/>
  <c r="F46" i="9" s="1"/>
  <c r="F44" i="9"/>
  <c r="F43" i="9" s="1"/>
  <c r="F42" i="9" s="1"/>
  <c r="F35" i="9"/>
  <c r="F34" i="9"/>
  <c r="F32" i="9"/>
  <c r="F31" i="9" s="1"/>
  <c r="F30" i="9"/>
  <c r="F29" i="9"/>
  <c r="F28" i="9"/>
  <c r="F26" i="9"/>
  <c r="F25" i="9" s="1"/>
  <c r="F23" i="9"/>
  <c r="F22" i="9"/>
  <c r="F21" i="9"/>
  <c r="F19" i="9"/>
  <c r="F18" i="9" s="1"/>
  <c r="F17" i="9"/>
  <c r="F16" i="9" s="1"/>
  <c r="F14" i="9"/>
  <c r="F13" i="9" s="1"/>
  <c r="F12" i="9" s="1"/>
  <c r="D133" i="9"/>
  <c r="D125" i="9"/>
  <c r="D123" i="9"/>
  <c r="D120" i="9"/>
  <c r="D116" i="9"/>
  <c r="D111" i="9"/>
  <c r="D101" i="9"/>
  <c r="D99" i="9"/>
  <c r="D98" i="9"/>
  <c r="D97" i="9"/>
  <c r="D103" i="9"/>
  <c r="D90" i="9"/>
  <c r="D76" i="9"/>
  <c r="D71" i="9"/>
  <c r="D70" i="9"/>
  <c r="D64" i="9"/>
  <c r="D60" i="9"/>
  <c r="D105" i="9"/>
  <c r="D52" i="9"/>
  <c r="D50" i="9"/>
  <c r="D46" i="9"/>
  <c r="D43" i="9"/>
  <c r="D33" i="9"/>
  <c r="D31" i="9"/>
  <c r="D27" i="9"/>
  <c r="D25" i="9"/>
  <c r="D20" i="9"/>
  <c r="D18" i="9"/>
  <c r="D16" i="9"/>
  <c r="D14" i="9"/>
  <c r="D13" i="9"/>
  <c r="F69" i="9" l="1"/>
  <c r="F20" i="9"/>
  <c r="F15" i="9" s="1"/>
  <c r="F52" i="9"/>
  <c r="F45" i="9" s="1"/>
  <c r="F96" i="9"/>
  <c r="F92" i="9" s="1"/>
  <c r="F62" i="9"/>
  <c r="F27" i="9"/>
  <c r="F109" i="9"/>
  <c r="F122" i="9"/>
  <c r="F118" i="9" s="1"/>
  <c r="F33" i="9"/>
  <c r="F89" i="9"/>
  <c r="F88" i="9"/>
  <c r="F24" i="9" l="1"/>
  <c r="F11" i="9" s="1"/>
  <c r="F68" i="9" l="1"/>
  <c r="F135" i="9" s="1"/>
  <c r="G95" i="8"/>
  <c r="G111" i="8"/>
  <c r="G110" i="8" s="1"/>
  <c r="G109" i="8" s="1"/>
  <c r="C20" i="10" l="1"/>
  <c r="C19" i="10" s="1"/>
  <c r="C18" i="10" s="1"/>
  <c r="C12" i="10" s="1"/>
  <c r="F139" i="9"/>
  <c r="C17" i="10" l="1"/>
  <c r="C11" i="10"/>
  <c r="G30" i="8"/>
  <c r="G29" i="8" s="1"/>
  <c r="G134" i="8"/>
  <c r="G133" i="8" s="1"/>
  <c r="G132" i="8" s="1"/>
  <c r="G130" i="8"/>
  <c r="G127" i="8" s="1"/>
  <c r="G121" i="8"/>
  <c r="G119" i="8"/>
  <c r="G116" i="8"/>
  <c r="G115" i="8" s="1"/>
  <c r="G107" i="8"/>
  <c r="G105" i="8"/>
  <c r="G98" i="8"/>
  <c r="G97" i="8" s="1"/>
  <c r="G93" i="8"/>
  <c r="G92" i="8" s="1"/>
  <c r="G85" i="8"/>
  <c r="G83" i="8"/>
  <c r="G81" i="8"/>
  <c r="G79" i="8"/>
  <c r="G75" i="8"/>
  <c r="G72" i="8"/>
  <c r="G71" i="8" s="1"/>
  <c r="G66" i="8"/>
  <c r="G64" i="8"/>
  <c r="G62" i="8"/>
  <c r="G60" i="8"/>
  <c r="G58" i="8"/>
  <c r="G54" i="8"/>
  <c r="G52" i="8"/>
  <c r="G51" i="8" s="1"/>
  <c r="G46" i="8"/>
  <c r="G42" i="8"/>
  <c r="G87" i="8"/>
  <c r="G27" i="8"/>
  <c r="G26" i="8" s="1"/>
  <c r="G21" i="8"/>
  <c r="G17" i="8"/>
  <c r="G41" i="8" l="1"/>
  <c r="G40" i="8" s="1"/>
  <c r="G91" i="8"/>
  <c r="G118" i="8"/>
  <c r="G114" i="8" s="1"/>
  <c r="G113" i="8" s="1"/>
  <c r="G78" i="8"/>
  <c r="G74" i="8" s="1"/>
  <c r="G45" i="8"/>
  <c r="G44" i="8" s="1"/>
  <c r="G104" i="8"/>
  <c r="G70" i="8"/>
  <c r="G50" i="8" l="1"/>
  <c r="G102" i="8"/>
  <c r="G101" i="8" s="1"/>
  <c r="G100" i="8" s="1"/>
  <c r="G23" i="8"/>
  <c r="G14" i="8" l="1"/>
  <c r="G13" i="8" s="1"/>
  <c r="G12" i="8" s="1"/>
  <c r="G144" i="8" s="1"/>
  <c r="G147" i="8" s="1"/>
  <c r="J135" i="9" l="1"/>
</calcChain>
</file>

<file path=xl/sharedStrings.xml><?xml version="1.0" encoding="utf-8"?>
<sst xmlns="http://schemas.openxmlformats.org/spreadsheetml/2006/main" count="4235" uniqueCount="892">
  <si>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</si>
  <si>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</si>
  <si>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</si>
  <si>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</si>
  <si>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</si>
  <si>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</si>
  <si>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</si>
  <si>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</si>
  <si>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</si>
  <si>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</si>
  <si>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</si>
  <si>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</si>
  <si>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</si>
  <si>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</si>
  <si>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</si>
  <si>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</si>
  <si>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</si>
  <si>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</si>
  <si>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Приложение № 2</t>
  </si>
  <si>
    <t>к 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</si>
  <si>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</si>
  <si>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</si>
  <si>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</si>
  <si>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</si>
  <si>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</si>
  <si>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</si>
  <si>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</si>
  <si>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</si>
  <si>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</si>
  <si>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</si>
  <si>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</si>
  <si>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</si>
  <si>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</si>
  <si>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</si>
  <si>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</si>
  <si>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</si>
  <si>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</si>
  <si>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</si>
  <si>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</si>
  <si>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</si>
  <si>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</si>
  <si>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</si>
  <si>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</si>
  <si>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</si>
  <si>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</si>
  <si>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</si>
  <si>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</si>
  <si>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</si>
  <si>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</si>
  <si>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</si>
  <si>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</si>
  <si>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</si>
  <si>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</si>
  <si>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</si>
  <si>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</si>
  <si>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</si>
  <si>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</si>
  <si>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</si>
  <si>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</si>
  <si>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</si>
  <si>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</si>
  <si>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</si>
  <si>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</si>
  <si>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</si>
  <si>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</si>
  <si>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</si>
  <si>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</si>
  <si>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</si>
  <si>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</si>
  <si>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</si>
  <si>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</si>
  <si>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</si>
  <si>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</si>
  <si>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</si>
  <si>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</si>
  <si>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</si>
  <si>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</si>
  <si>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</si>
  <si>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</si>
  <si>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</si>
  <si>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</si>
  <si>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</si>
  <si>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</si>
  <si>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</si>
  <si>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</si>
  <si>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</si>
  <si>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</si>
  <si>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</si>
  <si>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</si>
  <si>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</si>
  <si>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</si>
  <si>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</si>
  <si>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</si>
  <si>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</si>
  <si>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</si>
  <si>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</si>
  <si>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</si>
  <si>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</si>
  <si>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</si>
  <si>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</si>
  <si>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</si>
  <si>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</si>
  <si>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</si>
  <si>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</si>
  <si>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</si>
  <si>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</si>
  <si>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</si>
  <si>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</si>
  <si>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</si>
  <si>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</si>
  <si>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</si>
  <si>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</si>
  <si>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</si>
  <si>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</si>
  <si>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</si>
  <si>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</si>
  <si>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</si>
  <si>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</si>
  <si>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</si>
  <si>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</si>
  <si>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</si>
  <si>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</si>
  <si>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</si>
  <si>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</si>
  <si>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</si>
  <si>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</si>
  <si>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</si>
  <si>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</si>
  <si>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</si>
  <si>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</si>
  <si>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</si>
  <si>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</si>
  <si>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</si>
  <si>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ДРУГИЕ ВОПРОСЫ В ОБЛАСТИ КУЛЬТУРЫ, КИНЕМАТОГРАФИИ</t>
  </si>
  <si>
    <t>0804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</si>
  <si>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</si>
  <si>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</si>
  <si>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</si>
  <si>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</si>
  <si>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</si>
  <si>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</si>
  <si>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</si>
  <si>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</si>
  <si>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</si>
  <si>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</si>
  <si>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</si>
  <si>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</si>
  <si>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</si>
  <si>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</si>
  <si>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</si>
  <si>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</si>
  <si>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</si>
  <si>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</si>
  <si>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</si>
  <si>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</si>
  <si>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</si>
  <si>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</si>
  <si>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</si>
  <si>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</si>
  <si>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</si>
  <si>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</si>
  <si>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</si>
  <si>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</si>
  <si>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</si>
  <si>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</si>
  <si>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</si>
  <si>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</si>
  <si>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</si>
  <si>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</si>
  <si>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</si>
  <si>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</si>
  <si>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</si>
  <si>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</si>
  <si>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</si>
  <si>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</si>
  <si>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</si>
  <si>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</si>
  <si>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</si>
  <si>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</si>
  <si>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</si>
  <si>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Приложение № 3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</si>
  <si>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</si>
  <si>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</si>
  <si>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</si>
  <si>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</si>
  <si>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</si>
  <si>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</si>
  <si>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</si>
  <si>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</si>
  <si>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</si>
  <si>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</si>
  <si>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</si>
  <si>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</si>
  <si>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</si>
  <si>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</si>
  <si>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</si>
  <si>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</si>
  <si>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</si>
  <si>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</si>
  <si>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</si>
  <si>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</si>
  <si>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</si>
  <si>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</si>
  <si>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</si>
  <si>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</si>
  <si>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</si>
  <si>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</si>
  <si>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</si>
  <si>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</si>
  <si>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</si>
  <si>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</si>
  <si>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</si>
  <si>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</si>
  <si>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</si>
  <si>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</si>
  <si>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</si>
  <si>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</si>
  <si>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</si>
  <si>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07 09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</si>
  <si>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</si>
  <si>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</si>
  <si>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</si>
  <si>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</si>
  <si>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</si>
  <si>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</si>
  <si>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</si>
  <si>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</si>
  <si>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</si>
  <si>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</si>
  <si>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</si>
  <si>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</si>
  <si>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</si>
  <si>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</si>
  <si>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</si>
  <si>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</si>
  <si>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</si>
  <si>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</si>
  <si>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</si>
  <si>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</si>
  <si>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</si>
  <si>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</si>
  <si>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</si>
  <si>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</si>
  <si>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</si>
  <si>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</si>
  <si>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</si>
  <si>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</si>
  <si>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</si>
  <si>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</si>
  <si>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</si>
  <si>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</si>
  <si>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</si>
  <si>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</si>
  <si>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</si>
  <si>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</si>
  <si>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</si>
  <si>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</si>
  <si>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</si>
  <si>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</si>
  <si>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</si>
  <si>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</si>
  <si>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</si>
  <si>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</si>
  <si>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</si>
  <si>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</si>
  <si>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</si>
  <si>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</si>
  <si>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</si>
  <si>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</si>
  <si>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</si>
  <si>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</si>
  <si>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</si>
  <si>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</si>
  <si>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</si>
  <si>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</si>
  <si>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</si>
  <si>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</si>
  <si>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1.3.3.2</t>
  </si>
  <si>
    <t>1.3.3.3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</si>
  <si>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</si>
  <si>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</si>
  <si>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</si>
  <si>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</si>
  <si>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</si>
  <si>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</si>
  <si>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</si>
  <si>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</si>
  <si>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Приложение № 4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</si>
  <si>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</si>
  <si>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</si>
  <si>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</si>
  <si>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</si>
  <si>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</si>
  <si>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</si>
  <si>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</si>
  <si>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</si>
  <si>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</si>
  <si>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</si>
  <si>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</si>
  <si>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</si>
  <si>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7.1.1.1</t>
  </si>
  <si>
    <t>7.1.2.1</t>
  </si>
  <si>
    <t>7.2.1.1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</si>
  <si>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</si>
  <si>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</si>
  <si>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</si>
  <si>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</si>
  <si>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</si>
  <si>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</si>
  <si>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</si>
  <si>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</si>
  <si>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4.1.1</t>
  </si>
  <si>
    <t>6.1.1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</si>
  <si>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</si>
  <si>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</si>
  <si>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</si>
  <si>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</si>
  <si>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</si>
  <si>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</si>
  <si>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</si>
  <si>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</si>
  <si>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>НАЛОГОВЫЕ И НЕНАЛОГОВЫЕ ДОХОДЫ</t>
  </si>
  <si>
    <t>НАЛОГИ НА СОВОКУПНЫЙ ДОХОД</t>
  </si>
  <si>
    <t>182</t>
  </si>
  <si>
    <t>Налог, взимаемый в связи с применением упрощенной системы налогообложения</t>
  </si>
  <si>
    <t>1.1.1.1.1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</si>
  <si>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</si>
  <si>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</si>
  <si>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</si>
  <si>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</si>
  <si>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</si>
  <si>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>1.1.1.2.2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</si>
  <si>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</si>
  <si>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</si>
  <si>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</si>
  <si>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</si>
  <si>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</si>
  <si>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</si>
  <si>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</si>
  <si>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</si>
  <si>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</si>
  <si>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</si>
  <si>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1.2.1.1.1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</si>
  <si>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</si>
  <si>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Доходы от компенсации затрат государства</t>
  </si>
  <si>
    <t xml:space="preserve">Прочие доходы от компенсации затрат государства </t>
  </si>
  <si>
    <t>1.2.2.1.1</t>
  </si>
  <si>
    <t>Прочие доходы от компенсации затрат бюджетов внутригородских муниципальных образований городов федерального значения</t>
  </si>
  <si>
    <t>1.2.2.1.1.1</t>
  </si>
  <si>
    <t>867</t>
  </si>
  <si>
    <t>ШТРАФЫ, САНКЦИИ, ВОЗМЕЩЕНИЕ УЩЕРБА</t>
  </si>
  <si>
    <t>1 16 21000 00 0000 140</t>
  </si>
  <si>
    <t>1 16 21030 03 0000 140</t>
  </si>
  <si>
    <t>Прочие поступления от денежных взысканий (штрафов) и иных сумм в возмещение ущерба</t>
  </si>
  <si>
    <t>1 16 90030 03 0000 140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</si>
  <si>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</si>
  <si>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</si>
  <si>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</si>
  <si>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</si>
  <si>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</si>
  <si>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</si>
  <si>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</si>
  <si>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</si>
  <si>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</si>
  <si>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</si>
  <si>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</si>
  <si>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</si>
  <si>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</si>
  <si>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</si>
  <si>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</si>
  <si>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</si>
  <si>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</si>
  <si>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2.1.1.1.1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</si>
  <si>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</si>
  <si>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</si>
  <si>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</si>
  <si>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</si>
  <si>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</si>
  <si>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</si>
  <si>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</si>
  <si>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</si>
  <si>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</si>
  <si>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</si>
  <si>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</si>
  <si>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</si>
  <si>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</si>
  <si>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</si>
  <si>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</si>
  <si>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</si>
  <si>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</si>
  <si>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</si>
  <si>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</si>
  <si>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Приложение № 1</t>
  </si>
  <si>
    <t>Код источника доходов</t>
  </si>
  <si>
    <t>Код администратора</t>
  </si>
  <si>
    <t>2018 год</t>
  </si>
  <si>
    <t>Плановый период</t>
  </si>
  <si>
    <t>2019 год</t>
  </si>
  <si>
    <t>2020 год</t>
  </si>
  <si>
    <t>(тыс. руб.)</t>
  </si>
  <si>
    <t>2.1.1.1.1.1</t>
  </si>
  <si>
    <t>2.1.1.1.1.2</t>
  </si>
  <si>
    <t>2.1.1.1.2</t>
  </si>
  <si>
    <t>2.1.1.1.2.1</t>
  </si>
  <si>
    <t>2.1.1.1.2.1.1</t>
  </si>
  <si>
    <t>2.1.1.1.2.1.2</t>
  </si>
  <si>
    <t>Код раздела и подраздела</t>
  </si>
  <si>
    <t>Распределение бюджетных ассигнований  местного бюджета МО Адмиралтейский округ  на 2018 год и плановый период 2019 и 2020 годов</t>
  </si>
  <si>
    <t>Источники финансирования дефицита местного бюджета МО Адмиралтейский округ на 2018 год и плановый период 2019 и 2020 годов</t>
  </si>
  <si>
    <t>0,1</t>
  </si>
  <si>
    <t>417,4</t>
  </si>
  <si>
    <t>2592,9</t>
  </si>
  <si>
    <t>58,7</t>
  </si>
  <si>
    <t>1708,8</t>
  </si>
  <si>
    <t>1513,6</t>
  </si>
  <si>
    <t>53,8</t>
  </si>
  <si>
    <t>10,6</t>
  </si>
  <si>
    <t>6.2.2</t>
  </si>
  <si>
    <t>6.2.2.1</t>
  </si>
  <si>
    <t>6.2.3</t>
  </si>
  <si>
    <t>6.2.3.1</t>
  </si>
  <si>
    <t>6.2.4</t>
  </si>
  <si>
    <t>6.2.4.1</t>
  </si>
  <si>
    <t>66,9</t>
  </si>
  <si>
    <t>24,6</t>
  </si>
  <si>
    <t>3.1.2</t>
  </si>
  <si>
    <t>3.1.2.1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</si>
  <si>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</si>
  <si>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34501 00101</t>
  </si>
  <si>
    <t>3.2.2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</si>
  <si>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</si>
  <si>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</si>
  <si>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6.2.5</t>
  </si>
  <si>
    <t>6.2.5.1</t>
  </si>
  <si>
    <t>221,4</t>
  </si>
  <si>
    <t>233,2</t>
  </si>
  <si>
    <t>Муниципальная  программа "Проведение работ по военно-патриотическому воспитанию населения муниципального образования муниципальный округ Адмиралтейский округ"</t>
  </si>
  <si>
    <t>6.2.6</t>
  </si>
  <si>
    <t>6.2.6.1</t>
  </si>
  <si>
    <t>79515 00521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</si>
  <si>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</si>
  <si>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6122,8</t>
  </si>
  <si>
    <t>1001</t>
  </si>
  <si>
    <t>ПЕНСИОННОЕ ОБЕСПЕЧЕНИЕ</t>
  </si>
  <si>
    <t>10 01</t>
  </si>
  <si>
    <t>услов-утв расх.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</si>
  <si>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</si>
  <si>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</si>
  <si>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</si>
  <si>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</si>
  <si>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ОБЕСПЕЧЕНИЕ ПРОВЕДЕНИЯ ВЫБОРОВ  И РЕФЕРЕНДУМОВ</t>
  </si>
  <si>
    <t>0107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</si>
  <si>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</si>
  <si>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</si>
  <si>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</si>
  <si>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Условно утвержденные расходы</t>
  </si>
  <si>
    <t>4.1.8</t>
  </si>
  <si>
    <t>4.1.8.1</t>
  </si>
  <si>
    <t>01 07</t>
  </si>
  <si>
    <t>99999 99999</t>
  </si>
  <si>
    <t>02001 00070</t>
  </si>
  <si>
    <t>Проведение выборов в представительный орган муниципального образования</t>
  </si>
  <si>
    <t>3.1.1.2</t>
  </si>
  <si>
    <t>3.1.1.2.1</t>
  </si>
  <si>
    <t>3.1.1.2.2</t>
  </si>
  <si>
    <t>1.6</t>
  </si>
  <si>
    <t>1.6.2</t>
  </si>
  <si>
    <t>1.6.3</t>
  </si>
  <si>
    <t>1.6.4</t>
  </si>
  <si>
    <t>1.6.5</t>
  </si>
  <si>
    <t>1.4.1</t>
  </si>
  <si>
    <t>1.4.2</t>
  </si>
  <si>
    <t>Утверждаю:</t>
  </si>
  <si>
    <t>Глава местной Администрации МО Адмиралтейский округ</t>
  </si>
  <si>
    <t>Крылов Н.В.</t>
  </si>
  <si>
    <t>КОСГУ</t>
  </si>
  <si>
    <t>Сумма (тыс.руб.)</t>
  </si>
  <si>
    <t>Плановый период (тыс. руб.)</t>
  </si>
  <si>
    <t>2019г.</t>
  </si>
  <si>
    <t>2020г.</t>
  </si>
  <si>
    <t>Расходы на выплаты персоналу государственных (муниципальных) органов</t>
  </si>
  <si>
    <t>120</t>
  </si>
  <si>
    <t>1.1.1.1.1.1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</si>
  <si>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</si>
  <si>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</si>
  <si>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1.1.1.1.1.1.1</t>
  </si>
  <si>
    <t xml:space="preserve">Оплата труда и начисления на выплаты по оплате труда </t>
  </si>
  <si>
    <t>210</t>
  </si>
  <si>
    <t>1.1.1.1.1.1.1.1</t>
  </si>
  <si>
    <t>Заработная плата</t>
  </si>
  <si>
    <t>211</t>
  </si>
  <si>
    <t>1.1.1.1.1.1.1.3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</si>
  <si>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</si>
  <si>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</si>
  <si>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труда и начисления на выплаты по оплате труда</t>
  </si>
  <si>
    <t>Начисления на выплаты по оплате труда</t>
  </si>
  <si>
    <t>213</t>
  </si>
  <si>
    <t>1.2.1.1.1.1</t>
  </si>
  <si>
    <t>1.2.1.1.1.1.1</t>
  </si>
  <si>
    <t>1.2.1.1.1.1.3</t>
  </si>
  <si>
    <t>1.2.1.1.2</t>
  </si>
  <si>
    <t>Иные выплаты персоналу государственных (муниципальных) органов, за исключением фонда оплаты труда</t>
  </si>
  <si>
    <t>122</t>
  </si>
  <si>
    <t>1.2.1.1.2.1</t>
  </si>
  <si>
    <t>1.2.1.1.2.1.1</t>
  </si>
  <si>
    <t>Прочие выплаты</t>
  </si>
  <si>
    <t>212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</si>
  <si>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</si>
  <si>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</si>
  <si>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</si>
  <si>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</si>
  <si>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Оплата работ, услуг</t>
  </si>
  <si>
    <t>220</t>
  </si>
  <si>
    <t>1.2.2.1.1.1.1</t>
  </si>
  <si>
    <t>Услуги связи</t>
  </si>
  <si>
    <t>221</t>
  </si>
  <si>
    <t>1.2.2.1.1.1.2</t>
  </si>
  <si>
    <t>Прочие работы, услуги</t>
  </si>
  <si>
    <t>226</t>
  </si>
  <si>
    <t>1.2.2.1.1.2</t>
  </si>
  <si>
    <t>Поступление нефинансовых активов</t>
  </si>
  <si>
    <t>1.2.2.1.1.2.1</t>
  </si>
  <si>
    <t>Увеличение стоимости основных средств</t>
  </si>
  <si>
    <t>310</t>
  </si>
  <si>
    <t>1.2.2.1.1.2.2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</si>
  <si>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</si>
  <si>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</si>
  <si>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</si>
  <si>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</si>
  <si>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1.2.2.1.1.2.1.1</t>
  </si>
  <si>
    <t>1.2.2.1.1.2.1.2</t>
  </si>
  <si>
    <t>Транспортные услуги</t>
  </si>
  <si>
    <t>222</t>
  </si>
  <si>
    <t>1.2.2.1.1.2.1.3</t>
  </si>
  <si>
    <t>Работы, услуги по содержанию имущества</t>
  </si>
  <si>
    <t>225</t>
  </si>
  <si>
    <t>1.2.2.1.1.2.1.4</t>
  </si>
  <si>
    <t>1.2.2.1.1.2.2.1</t>
  </si>
  <si>
    <t>1.2.2.1.1.2.2.2</t>
  </si>
  <si>
    <t>Уплата налогов, сборов и иных платежей</t>
  </si>
  <si>
    <t>850</t>
  </si>
  <si>
    <t>1.2.3.1.1</t>
  </si>
  <si>
    <t>Уплата налога на имущество организаций и земельного налога</t>
  </si>
  <si>
    <t>851</t>
  </si>
  <si>
    <t>1.2.3.1.1.1</t>
  </si>
  <si>
    <t>Прочие расходы</t>
  </si>
  <si>
    <t>Уплата прочих налогов, сборов и иных платежей</t>
  </si>
  <si>
    <t>852</t>
  </si>
  <si>
    <t>Уплата иных платежей</t>
  </si>
  <si>
    <t>853</t>
  </si>
  <si>
    <t>1.1.3.1.1</t>
  </si>
  <si>
    <t>1.1.3.1.1.1</t>
  </si>
  <si>
    <t>1.1.3.1.1.1.1</t>
  </si>
  <si>
    <t>1.1.3.1.1.1.1.1</t>
  </si>
  <si>
    <t>1.1.4.1.1</t>
  </si>
  <si>
    <t>1.1.4.1.1.1</t>
  </si>
  <si>
    <t>1.1.4.1.1.1.1</t>
  </si>
  <si>
    <t>1.1.4.1.1.1.3</t>
  </si>
  <si>
    <t>1.1.4.2.1</t>
  </si>
  <si>
    <t>1.1.4.2.1.2</t>
  </si>
  <si>
    <t>1.1.4.2.1.2.1</t>
  </si>
  <si>
    <t>1.1.4.2.1.2.1.1</t>
  </si>
  <si>
    <t>1.1.4.2.1.2.1.2</t>
  </si>
  <si>
    <t>1.1.4.2.1.2.2</t>
  </si>
  <si>
    <t>1.1.4.2.1.2.2.1</t>
  </si>
  <si>
    <t>1.1.4.2.1.2.2.2</t>
  </si>
  <si>
    <t>Резервные средства</t>
  </si>
  <si>
    <t>870</t>
  </si>
  <si>
    <t xml:space="preserve">               </t>
  </si>
  <si>
    <t>1.3.1.1.1</t>
  </si>
  <si>
    <t>1.3.1.1.1.1</t>
  </si>
  <si>
    <t>1.3.1.1.1.1.1</t>
  </si>
  <si>
    <t>1.3.1.1.1.1.1.1</t>
  </si>
  <si>
    <t>1.3.2.1.1</t>
  </si>
  <si>
    <t>1.3.2.1.1.1</t>
  </si>
  <si>
    <t>1.3.2.1.1.1.1</t>
  </si>
  <si>
    <t>1.3.2.1.1.1.1.1</t>
  </si>
  <si>
    <t>1.3.3.1.1.1</t>
  </si>
  <si>
    <t>1.3.3.1.1.1.1</t>
  </si>
  <si>
    <t>1.3.3.1.1.1.1.1</t>
  </si>
  <si>
    <t>2.1.1.1.1.1.1</t>
  </si>
  <si>
    <t>2.1.2</t>
  </si>
  <si>
    <t>2.1.2.1</t>
  </si>
  <si>
    <t>2.1.2.1.1</t>
  </si>
  <si>
    <t>2.1.2.1.1.1</t>
  </si>
  <si>
    <t>2.1.2.1.1.1.1</t>
  </si>
  <si>
    <t>Благоустройство  придомовых территорий и дворовых</t>
  </si>
  <si>
    <t>60001 00130</t>
  </si>
  <si>
    <t>3.1.1.1.1.1</t>
  </si>
  <si>
    <t>3.1.1.1.1.1.1</t>
  </si>
  <si>
    <t>3.1.1.1.1.1.1.1</t>
  </si>
  <si>
    <t>3.1.1.1.1.1.1.1.1</t>
  </si>
  <si>
    <t>3.1.1.1.1.1.1.1.2</t>
  </si>
  <si>
    <t>3.1.1.1.1.1.1.2</t>
  </si>
  <si>
    <t>3.1.1.1.1.1.1.2.1</t>
  </si>
  <si>
    <t>3.1.2.1.1</t>
  </si>
  <si>
    <t>3.1.2.1.1.1</t>
  </si>
  <si>
    <t>3.1.2.1.1.1.1</t>
  </si>
  <si>
    <t>3.1.2.1.1.1.1.1</t>
  </si>
  <si>
    <t>3.1.2.1.1.1.2</t>
  </si>
  <si>
    <t>3.1.2.1.1.1.2.1</t>
  </si>
  <si>
    <t>3.1.2.1.1.1.2.2</t>
  </si>
  <si>
    <t>3.1.3.1</t>
  </si>
  <si>
    <t>3.1.3.1.1</t>
  </si>
  <si>
    <t>3.1.3.1.1.1</t>
  </si>
  <si>
    <t>3.1.3.1.1.1.1</t>
  </si>
  <si>
    <t>3.1.3.1.1.1.1.1</t>
  </si>
  <si>
    <t>3.1.3.1.1.1.1.1.1</t>
  </si>
  <si>
    <t>3.1.3.2</t>
  </si>
  <si>
    <t>3.1.3.2.1</t>
  </si>
  <si>
    <t>2.1.3.2.1.1</t>
  </si>
  <si>
    <t>3.1.3.2.1.1.1</t>
  </si>
  <si>
    <t>3.1.3.2.1.1.1.1</t>
  </si>
  <si>
    <t>3.1.3.2.1.1.1.1.1</t>
  </si>
  <si>
    <t>3.1.3.2.1.1.1.2</t>
  </si>
  <si>
    <t>3.1.3.2.1.1.1.2.1</t>
  </si>
  <si>
    <t>3.1.3.3</t>
  </si>
  <si>
    <t>3.1.3.3.1</t>
  </si>
  <si>
    <t>3.1.3.3.1.1</t>
  </si>
  <si>
    <t>3.1.3.3.1.1.1</t>
  </si>
  <si>
    <t>3.1.3.3.1.1.1.1</t>
  </si>
  <si>
    <t>3.1.3.3.1.1.1.1.1</t>
  </si>
  <si>
    <t>3.1.4</t>
  </si>
  <si>
    <t>3.1.4.1</t>
  </si>
  <si>
    <t>3.1.4.1.1</t>
  </si>
  <si>
    <t>3.1.4.1.1.1</t>
  </si>
  <si>
    <t>2.1.4.1.1.1.1</t>
  </si>
  <si>
    <t>3.1.4.1.1.1.1.1</t>
  </si>
  <si>
    <t>3.1.4.1.1.1.1.2</t>
  </si>
  <si>
    <t>3.1.4.1.1.1.2</t>
  </si>
  <si>
    <t>3.1.4.1.1.1.2.1</t>
  </si>
  <si>
    <t>3.1.5</t>
  </si>
  <si>
    <t>3.1.5.1</t>
  </si>
  <si>
    <t>3.1.5.1.1</t>
  </si>
  <si>
    <t>3.1.5.1.1.1</t>
  </si>
  <si>
    <t>3.1.5.1.1.1.1</t>
  </si>
  <si>
    <t>3.1.5.1.1.1.1.1</t>
  </si>
  <si>
    <t>3.1.6</t>
  </si>
  <si>
    <t>3.1.6.1</t>
  </si>
  <si>
    <t>4.1.1.1.1</t>
  </si>
  <si>
    <t>4.1.1.1.1.1</t>
  </si>
  <si>
    <t>4.1.1.1.1.1.1</t>
  </si>
  <si>
    <t>4.1.1.1.1.1.1.1</t>
  </si>
  <si>
    <t>4.1.1.1.1.1.1.1.1</t>
  </si>
  <si>
    <t>5.1.1.1.1</t>
  </si>
  <si>
    <t>Публичные нормативные социальные выплаты гражданам</t>
  </si>
  <si>
    <t>5.1.1.1.1.1</t>
  </si>
  <si>
    <t>Иные пенсии, социальные доплаты к пенсиям</t>
  </si>
  <si>
    <t>313</t>
  </si>
  <si>
    <t>5.1.1.1.1.1.1</t>
  </si>
  <si>
    <t xml:space="preserve">Социальное обеспечение                                  </t>
  </si>
  <si>
    <t>260</t>
  </si>
  <si>
    <t>5.1.1.1.1.1.1.1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</si>
  <si>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</si>
  <si>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</si>
  <si>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5.1.2</t>
  </si>
  <si>
    <t>5.1.2.1</t>
  </si>
  <si>
    <t>5.1.2.1.1</t>
  </si>
  <si>
    <t>5.1.2.1.1.1</t>
  </si>
  <si>
    <t>5.1.2.1.1.1.1</t>
  </si>
  <si>
    <t>Пособия, компенсации, меры социальной поддержки по публичным нормативным обязательствам</t>
  </si>
  <si>
    <t>5.1.2.1.1.1.1.1</t>
  </si>
  <si>
    <t>5.1.2.1.1.1.1.1.1</t>
  </si>
  <si>
    <t>Пособия по социальной помощи населению</t>
  </si>
  <si>
    <t>5.1.2.2</t>
  </si>
  <si>
    <t>5.1.2.2.1</t>
  </si>
  <si>
    <t>5.1.2.2.1.1</t>
  </si>
  <si>
    <t>Иные выплаты населению</t>
  </si>
  <si>
    <t>360</t>
  </si>
  <si>
    <t>5.1.2.2.1.1.1</t>
  </si>
  <si>
    <t>5.1.2.2.1.1.1.1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</si>
  <si>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</si>
  <si>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1.</t>
  </si>
  <si>
    <t>Общегосударственные вопросы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</si>
  <si>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</si>
  <si>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</si>
  <si>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</si>
  <si>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</si>
  <si>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</si>
  <si>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</si>
  <si>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1.1.1.2.1.1</t>
  </si>
  <si>
    <t>1.1.1.2.1.1.1</t>
  </si>
  <si>
    <t>1.1.1.2.1.1.1.1</t>
  </si>
  <si>
    <t>1.1.1.2.1.1.1.2</t>
  </si>
  <si>
    <t>1.1.1.2.2.1</t>
  </si>
  <si>
    <t>1.1.1.2.2.1.1</t>
  </si>
  <si>
    <t>1.1.1.2.2.1.2</t>
  </si>
  <si>
    <t>1.1.1.2.2.2</t>
  </si>
  <si>
    <t>1.1.1.2.2.2.1</t>
  </si>
  <si>
    <t>1.1.1.3.1</t>
  </si>
  <si>
    <t>1.1.1.3.1.1</t>
  </si>
  <si>
    <t>1.1.1.3.1.1.1</t>
  </si>
  <si>
    <t>1.1.2.1.1</t>
  </si>
  <si>
    <t>1.1.2.1.1.1</t>
  </si>
  <si>
    <t>1.1.2.1.1.1.1</t>
  </si>
  <si>
    <t>1.1.2.1.1.1.1.1</t>
  </si>
  <si>
    <t>2.1.1.1.1.1.2</t>
  </si>
  <si>
    <t>2.1.1.1.1.1.2.1</t>
  </si>
  <si>
    <t>2.1.1.1.1.1.2.2</t>
  </si>
  <si>
    <t>3.1.1.1.1.1.2</t>
  </si>
  <si>
    <t>3.1.1.1.1.1.3</t>
  </si>
  <si>
    <t>3.1.1.1.1.1.3.1</t>
  </si>
  <si>
    <t>4.1.1.1.1.1.2</t>
  </si>
  <si>
    <t>4.1.2.1.1</t>
  </si>
  <si>
    <t>4.1.2.1.1.1</t>
  </si>
  <si>
    <t>4.1.2.1.1.1.1</t>
  </si>
  <si>
    <t>4.1.2.1.1.1.1.1</t>
  </si>
  <si>
    <t>4.1.3.1.1</t>
  </si>
  <si>
    <t>4.1.3.1.1.1</t>
  </si>
  <si>
    <t>4.1.3.1.1.1.1</t>
  </si>
  <si>
    <t>4.1.3.1.1.1.1.1</t>
  </si>
  <si>
    <t>4.1.3.1.1.1.2</t>
  </si>
  <si>
    <t>4.1.3.1.1.1.3</t>
  </si>
  <si>
    <t>4.1.3.1.1.1.3.1</t>
  </si>
  <si>
    <t>4.1.4.1.1</t>
  </si>
  <si>
    <t>4.1.4.1.1.1</t>
  </si>
  <si>
    <t>4.1.4.1.1.1.1</t>
  </si>
  <si>
    <t>4.1.4.1.1.1.1.1</t>
  </si>
  <si>
    <t>4.1.4.1.1.1.2</t>
  </si>
  <si>
    <t>4.1.4.1.1.1.3</t>
  </si>
  <si>
    <t>4.1.4.1.1.1.3.1</t>
  </si>
  <si>
    <t>4.1.5.1.1</t>
  </si>
  <si>
    <t>4.1.5.1.1.1</t>
  </si>
  <si>
    <t>4.1.5.1.1.1.1</t>
  </si>
  <si>
    <t>4.1.6.1.1</t>
  </si>
  <si>
    <t>4.1.6.1.1.1</t>
  </si>
  <si>
    <t>4.1.6.1.1.1.1</t>
  </si>
  <si>
    <t>4.1.6.1.1.1.1.1</t>
  </si>
  <si>
    <t>4.1.6.1.1.1.2</t>
  </si>
  <si>
    <t>6.1.1.1.1</t>
  </si>
  <si>
    <t>6.1.1.1.1.1</t>
  </si>
  <si>
    <t>6.1.1.1.1.1.1</t>
  </si>
  <si>
    <t>6.1.1.1.1.1.1.1</t>
  </si>
  <si>
    <t>6.1.1.1.1.1.2</t>
  </si>
  <si>
    <t>6.1.1.1.1.1.3</t>
  </si>
  <si>
    <t>6.1.1.1.1.1.3.1</t>
  </si>
  <si>
    <t>5.1.1.1.1.1.2</t>
  </si>
  <si>
    <t>5.1.1.1.1.1.3</t>
  </si>
  <si>
    <t>5.1.1.1.1.1.3.1</t>
  </si>
  <si>
    <t>III.</t>
  </si>
  <si>
    <t>1.1.1.1.1.2</t>
  </si>
  <si>
    <t>1.1.1.1.1.2.1</t>
  </si>
  <si>
    <t>1.1.1.1.1.2.1.1</t>
  </si>
  <si>
    <t>1.2.1.1.1.2</t>
  </si>
  <si>
    <t>1.2.1.1.1.2.1</t>
  </si>
  <si>
    <t>1.2.1.1.1.2.1.1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</si>
  <si>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</si>
  <si>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</si>
  <si>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1.2.2.1.1.1.1.1</t>
  </si>
  <si>
    <t>1.2.3.1.1.1.1</t>
  </si>
  <si>
    <t>1.2.3.1.1.1.1.1</t>
  </si>
  <si>
    <t>1.2.3.1.1.2</t>
  </si>
  <si>
    <t>1.2.3.1.1.2.1</t>
  </si>
  <si>
    <t>1.2.3.1.1.2.1.1</t>
  </si>
  <si>
    <t>1.2.3.2.1</t>
  </si>
  <si>
    <t>1.2.3.2.1.1</t>
  </si>
  <si>
    <t>1.2.3.2.1.1.1</t>
  </si>
  <si>
    <t>1.2.3.2.1.1.1.1</t>
  </si>
  <si>
    <t>1.2.3.2.1.1.1.2</t>
  </si>
  <si>
    <t>1.2.3.2.1.1.2</t>
  </si>
  <si>
    <t>1.2.3.2.1.1.2.1</t>
  </si>
  <si>
    <t>Увеличение стоимости  основных средств</t>
  </si>
  <si>
    <t>1.2.3.2.1.2</t>
  </si>
  <si>
    <t>1.2.3.2.1.2.1</t>
  </si>
  <si>
    <t>1.2.3.2.1.2.1.1</t>
  </si>
  <si>
    <t>1.2.3.2.1.2.1.2</t>
  </si>
  <si>
    <t>1.2.3.2.1.2.1.3</t>
  </si>
  <si>
    <t>Коммунальные услуги</t>
  </si>
  <si>
    <t>223</t>
  </si>
  <si>
    <t>1.2.3.2.1.2.1.4</t>
  </si>
  <si>
    <t>1.2.3.2.1.2.1.5</t>
  </si>
  <si>
    <t>1.2.3.2.1.2.2</t>
  </si>
  <si>
    <t>1.2.3.2.1.2.2.1</t>
  </si>
  <si>
    <t>1.2.3.3.1</t>
  </si>
  <si>
    <t>1.2.3.3.1.1</t>
  </si>
  <si>
    <t>1.2.3.3.1.1.1</t>
  </si>
  <si>
    <t>1.2.3.3.1.2</t>
  </si>
  <si>
    <t>1.2.3.3.1.2.1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</si>
  <si>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</si>
  <si>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3.1.1.1.1.1.2.1</t>
  </si>
  <si>
    <t>3.1.1.1.1.1.2.1.1</t>
  </si>
  <si>
    <t>3.1.1.2.1.1</t>
  </si>
  <si>
    <t>3.1.1.2.1.1.1</t>
  </si>
  <si>
    <t>3.1.1.2.1.1.1.1</t>
  </si>
  <si>
    <t>3.1.1.2.1.1.1.1.1</t>
  </si>
  <si>
    <t>3.1.1.2.1.1.1.1.2</t>
  </si>
  <si>
    <t>3.1.1.2.1.1.1.2</t>
  </si>
  <si>
    <t>3.1.1.2.1.1.1.2.1</t>
  </si>
  <si>
    <t>3.1.1.2.2.1</t>
  </si>
  <si>
    <t>3.1.1.2.2.1.1</t>
  </si>
  <si>
    <t>3.1.1.2.2.1.1.1</t>
  </si>
  <si>
    <t>Главный бухгалтер</t>
  </si>
  <si>
    <t>Ложкина Т.В.</t>
  </si>
  <si>
    <t>1 00 00000 00 0000 000</t>
  </si>
  <si>
    <t>1 05 00000 00 0000 000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</si>
  <si>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</si>
  <si>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</si>
  <si>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</si>
  <si>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</si>
  <si>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</si>
  <si>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1 05 01020 01 0000 110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</si>
  <si>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</si>
  <si>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</si>
  <si>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</si>
  <si>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</si>
  <si>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1 05 02000 02 0000 110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</si>
  <si>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</si>
  <si>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</si>
  <si>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</si>
  <si>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</si>
  <si>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1 13 01000 00 0000 130</t>
  </si>
  <si>
    <t>1 13 01993 03 0000 130</t>
  </si>
  <si>
    <t>1 13 02000 00 0000 130</t>
  </si>
  <si>
    <t>1 13 02990 00 0000 130</t>
  </si>
  <si>
    <t>1 13 02993 03 0000 130</t>
  </si>
  <si>
    <t>1 13 02993 03 0100 130</t>
  </si>
  <si>
    <t>1 16 00000 00 0000 000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</si>
  <si>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</si>
  <si>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</si>
  <si>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</si>
  <si>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</si>
  <si>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</si>
  <si>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</si>
  <si>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2 02 30024 03 0000 151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</si>
  <si>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</si>
  <si>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Проверка</t>
  </si>
  <si>
    <t>Старый</t>
  </si>
  <si>
    <t xml:space="preserve"> </t>
  </si>
  <si>
    <t>1.6.1</t>
  </si>
  <si>
    <t>Начальник  отдела учета, отчетности и бюджета</t>
  </si>
  <si>
    <t>815</t>
  </si>
  <si>
    <t>1.3.3.1.7</t>
  </si>
  <si>
    <t xml:space="preserve"> =+20</t>
  </si>
  <si>
    <t xml:space="preserve">    =+11</t>
  </si>
  <si>
    <t>Штрафы за административные правонарушения в области благоустройства, предусмотренные 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</si>
  <si>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Попов С.В.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</si>
  <si>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</si>
  <si>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291</t>
  </si>
  <si>
    <t>292</t>
  </si>
  <si>
    <t>296</t>
  </si>
  <si>
    <t>293</t>
  </si>
  <si>
    <t>13 апреля 2018 года</t>
  </si>
  <si>
    <t>831</t>
  </si>
  <si>
    <t>830</t>
  </si>
  <si>
    <t xml:space="preserve">Исполнение судебных актов  </t>
  </si>
  <si>
    <t>Иные расходы</t>
  </si>
  <si>
    <t>1.2.3.2.2</t>
  </si>
  <si>
    <t>1.2.3.2.2.1</t>
  </si>
  <si>
    <t>1.2.3.2.3</t>
  </si>
  <si>
    <t>1.2.3.2.3.1</t>
  </si>
  <si>
    <t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</t>
  </si>
  <si>
    <t>**</t>
  </si>
  <si>
    <t>Муниципальная программа "Ликвидация несанкционированных свалок бытовых отходов, мусова"</t>
  </si>
  <si>
    <t>60002 00140</t>
  </si>
  <si>
    <t>4.1.9</t>
  </si>
  <si>
    <t>4.1.9.1</t>
  </si>
  <si>
    <t>1.5.1</t>
  </si>
  <si>
    <t>3.1.3.3.1.1.1.2</t>
  </si>
  <si>
    <t>3.1.3.3.1.1.1.2.1</t>
  </si>
  <si>
    <t>3.1.3.4</t>
  </si>
  <si>
    <t>3.1.3.4.1</t>
  </si>
  <si>
    <t>3.1.3.4.1.1</t>
  </si>
  <si>
    <t>3.1.3.4.1.1.1</t>
  </si>
  <si>
    <t>3.1.3.4.1.1.1.1</t>
  </si>
  <si>
    <t>3.1.3.4.1.1.1.1.1</t>
  </si>
  <si>
    <t>5.1.1.1.1.1.1.2</t>
  </si>
  <si>
    <t>5.1.2.1.1.1.2</t>
  </si>
  <si>
    <t xml:space="preserve"> 5.1</t>
  </si>
  <si>
    <t xml:space="preserve"> 5.1.1</t>
  </si>
  <si>
    <t xml:space="preserve"> 5.1.2</t>
  </si>
  <si>
    <t>5.2</t>
  </si>
  <si>
    <t>5.2.1.1</t>
  </si>
  <si>
    <t>5.2.1.1.1</t>
  </si>
  <si>
    <t>5.2.1.1.1.1</t>
  </si>
  <si>
    <t>5.2.1.1.1.1.1</t>
  </si>
  <si>
    <t>5.2.1.1.1.1.1.1</t>
  </si>
  <si>
    <t>5.2.1.1.1.1.1.2</t>
  </si>
  <si>
    <t>5.2.1.1.1.1.2</t>
  </si>
  <si>
    <t>5.2.1.1.1.1.3</t>
  </si>
  <si>
    <t>5.2.1.1.1.1.3.1</t>
  </si>
  <si>
    <t xml:space="preserve"> 5.2.1</t>
  </si>
  <si>
    <t xml:space="preserve"> 6.1</t>
  </si>
  <si>
    <t xml:space="preserve"> 6.1.1</t>
  </si>
  <si>
    <t xml:space="preserve">  </t>
  </si>
  <si>
    <t>3.1.1.1.1.1.1.2.2</t>
  </si>
  <si>
    <t>Сводная бюджетная роспись  расходов  местного бюджета муниципального образования  муниципальный округ Адмиралтейский округ  на 2018 год и плановый период</t>
  </si>
  <si>
    <t>ФИЗИЧЕСКАЯ КУЛЬТУРА И СПОРТ</t>
  </si>
  <si>
    <t>МАССОВЫЙ СПОРТ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</si>
  <si>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</si>
  <si>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от 13 апреля 2018 года № 5</t>
  </si>
  <si>
    <t>Доходы местного бюджета МО Адмиралтейский округ на 2018 год  и плановый период 2019 и 2020 годов</t>
  </si>
  <si>
    <t>Ведомственная структура расходов местного бюджета МО Адмиралтейский округ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</si>
</sst>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b/>
      <sz val="12"/>
      <name val="Traditional Arabic"/>
      <family val="1"/>
    </font>
    <font>
      <b/>
      <sz val="12"/>
      <color theme="1"/>
      <name val="Traditional Arabic"/>
      <family val="1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Arial Cyr"/>
      <charset val="204"/>
    </font>
    <font>
      <sz val="18"/>
      <name val="Calibri"/>
      <family val="2"/>
      <scheme val="minor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0" borderId="0"/>
  </cellStyleXfs>
  <cellXfs count="420">
    <xf numFmtId="0" fontId="0" fillId="0" borderId="0" xfId="0"/>
    <xf numFmtId="0" fontId="7" fillId="0" borderId="0" xfId="1"/>
    <xf numFmtId="0" fontId="12" fillId="0" borderId="3" xfId="1" applyFont="1" applyFill="1" applyBorder="1" applyAlignment="1">
      <alignment wrapText="1"/>
    </xf>
    <xf numFmtId="0" fontId="19" fillId="0" borderId="0" xfId="0" applyFont="1"/>
    <xf numFmtId="0" fontId="8" fillId="0" borderId="0" xfId="1" applyFont="1" applyAlignment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0" fontId="22" fillId="0" borderId="4" xfId="1" applyFont="1" applyFill="1" applyBorder="1" applyAlignment="1">
      <alignment wrapText="1"/>
    </xf>
    <xf numFmtId="0" fontId="22" fillId="0" borderId="4" xfId="1" applyFont="1" applyFill="1" applyBorder="1" applyAlignment="1">
      <alignment horizontal="center" wrapText="1"/>
    </xf>
    <xf numFmtId="49" fontId="22" fillId="0" borderId="3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left" wrapText="1"/>
    </xf>
    <xf numFmtId="164" fontId="2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left" wrapText="1"/>
    </xf>
    <xf numFmtId="0" fontId="23" fillId="0" borderId="3" xfId="24" applyFont="1" applyFill="1" applyBorder="1" applyAlignment="1">
      <alignment wrapText="1"/>
    </xf>
    <xf numFmtId="49" fontId="12" fillId="0" borderId="3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horizontal="left" wrapText="1"/>
    </xf>
    <xf numFmtId="49" fontId="22" fillId="0" borderId="4" xfId="1" applyNumberFormat="1" applyFont="1" applyFill="1" applyBorder="1" applyAlignment="1">
      <alignment horizontal="center" wrapText="1"/>
    </xf>
    <xf numFmtId="49" fontId="24" fillId="0" borderId="4" xfId="1" applyNumberFormat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horizontal="center" wrapText="1"/>
    </xf>
    <xf numFmtId="164" fontId="24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horizontal="left" wrapText="1"/>
    </xf>
    <xf numFmtId="49" fontId="12" fillId="0" borderId="5" xfId="1" applyNumberFormat="1" applyFont="1" applyFill="1" applyBorder="1" applyAlignment="1">
      <alignment horizontal="center" wrapText="1"/>
    </xf>
    <xf numFmtId="49" fontId="22" fillId="0" borderId="2" xfId="1" applyNumberFormat="1" applyFont="1" applyFill="1" applyBorder="1" applyAlignment="1">
      <alignment horizontal="left" wrapText="1"/>
    </xf>
    <xf numFmtId="49" fontId="22" fillId="0" borderId="2" xfId="1" applyNumberFormat="1" applyFont="1" applyFill="1" applyBorder="1" applyAlignment="1">
      <alignment horizontal="center" wrapText="1"/>
    </xf>
    <xf numFmtId="49" fontId="22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49" fontId="22" fillId="0" borderId="2" xfId="1" applyNumberFormat="1" applyFont="1" applyFill="1" applyBorder="1" applyAlignment="1">
      <alignment wrapText="1"/>
    </xf>
    <xf numFmtId="49" fontId="22" fillId="0" borderId="3" xfId="1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2" fillId="0" borderId="3" xfId="1" applyFont="1" applyFill="1" applyBorder="1" applyAlignment="1">
      <alignment horizontal="left" wrapText="1"/>
    </xf>
    <xf numFmtId="49" fontId="8" fillId="0" borderId="3" xfId="1" applyNumberFormat="1" applyFont="1" applyFill="1" applyBorder="1" applyAlignment="1">
      <alignment wrapText="1"/>
    </xf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164" fontId="8" fillId="0" borderId="3" xfId="1" applyNumberFormat="1" applyFont="1" applyFill="1" applyBorder="1" applyAlignment="1">
      <alignment horizontal="center" wrapText="1"/>
    </xf>
    <xf numFmtId="11" fontId="7" fillId="0" borderId="0" xfId="1" applyNumberFormat="1"/>
    <xf numFmtId="0" fontId="29" fillId="0" borderId="0" xfId="0" applyFont="1" applyFill="1"/>
    <xf numFmtId="164" fontId="1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32" fillId="0" borderId="0" xfId="0" applyFont="1"/>
    <xf numFmtId="49" fontId="25" fillId="0" borderId="2" xfId="1" applyNumberFormat="1" applyFont="1" applyFill="1" applyBorder="1" applyAlignment="1">
      <alignment horizontal="center" wrapText="1"/>
    </xf>
    <xf numFmtId="49" fontId="25" fillId="0" borderId="3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/>
    </xf>
    <xf numFmtId="0" fontId="7" fillId="0" borderId="0" xfId="1" applyFont="1" applyFill="1"/>
    <xf numFmtId="0" fontId="34" fillId="0" borderId="0" xfId="48" applyFont="1" applyFill="1"/>
    <xf numFmtId="49" fontId="8" fillId="2" borderId="3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3" fontId="12" fillId="0" borderId="3" xfId="1" applyNumberFormat="1" applyFont="1" applyFill="1" applyBorder="1" applyAlignment="1">
      <alignment horizontal="center" vertical="center" wrapText="1"/>
    </xf>
    <xf numFmtId="0" fontId="14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0" fontId="10" fillId="0" borderId="0" xfId="48" applyFont="1" applyFill="1"/>
    <xf numFmtId="0" fontId="7" fillId="0" borderId="0" xfId="1" applyFill="1" applyBorder="1"/>
    <xf numFmtId="0" fontId="14" fillId="0" borderId="0" xfId="0" applyFont="1" applyFill="1" applyAlignment="1">
      <alignment horizontal="right"/>
    </xf>
    <xf numFmtId="2" fontId="8" fillId="0" borderId="9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 vertical="center" wrapText="1"/>
    </xf>
    <xf numFmtId="164" fontId="12" fillId="0" borderId="16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164" fontId="23" fillId="0" borderId="3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64" fontId="12" fillId="0" borderId="3" xfId="49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166" fontId="23" fillId="0" borderId="16" xfId="0" applyNumberFormat="1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4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15" fillId="0" borderId="0" xfId="1" applyFont="1" applyFill="1"/>
    <xf numFmtId="166" fontId="12" fillId="0" borderId="3" xfId="1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66" fontId="12" fillId="0" borderId="3" xfId="1" applyNumberFormat="1" applyFont="1" applyFill="1" applyBorder="1" applyAlignment="1">
      <alignment horizontal="center" wrapText="1"/>
    </xf>
    <xf numFmtId="166" fontId="23" fillId="0" borderId="3" xfId="0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wrapText="1"/>
    </xf>
    <xf numFmtId="166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4" fontId="7" fillId="0" borderId="0" xfId="1" applyNumberFormat="1"/>
    <xf numFmtId="49" fontId="22" fillId="0" borderId="4" xfId="1" applyNumberFormat="1" applyFont="1" applyFill="1" applyBorder="1" applyAlignment="1">
      <alignment wrapText="1"/>
    </xf>
    <xf numFmtId="0" fontId="32" fillId="0" borderId="0" xfId="0" applyFont="1" applyFill="1"/>
    <xf numFmtId="0" fontId="32" fillId="0" borderId="0" xfId="0" applyFont="1" applyFill="1" applyBorder="1"/>
    <xf numFmtId="49" fontId="36" fillId="0" borderId="0" xfId="1" applyNumberFormat="1" applyFont="1" applyFill="1" applyBorder="1" applyAlignment="1">
      <alignment horizontal="center" vertical="center" wrapText="1"/>
    </xf>
    <xf numFmtId="49" fontId="36" fillId="0" borderId="5" xfId="1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164" fontId="32" fillId="0" borderId="0" xfId="0" applyNumberFormat="1" applyFont="1" applyFill="1"/>
    <xf numFmtId="49" fontId="10" fillId="0" borderId="0" xfId="1" applyNumberFormat="1" applyFont="1" applyAlignment="1">
      <alignment wrapText="1"/>
    </xf>
    <xf numFmtId="164" fontId="8" fillId="0" borderId="0" xfId="1" applyNumberFormat="1" applyFont="1" applyAlignment="1">
      <alignment horizontal="left"/>
    </xf>
    <xf numFmtId="164" fontId="23" fillId="0" borderId="0" xfId="2" applyNumberFormat="1" applyFont="1" applyAlignment="1">
      <alignment horizontal="center"/>
    </xf>
    <xf numFmtId="0" fontId="8" fillId="0" borderId="0" xfId="1" applyFont="1" applyAlignment="1">
      <alignment horizontal="left"/>
    </xf>
    <xf numFmtId="166" fontId="23" fillId="0" borderId="0" xfId="0" applyNumberFormat="1" applyFont="1"/>
    <xf numFmtId="166" fontId="3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8" fillId="0" borderId="3" xfId="1" applyNumberFormat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center" wrapText="1"/>
    </xf>
    <xf numFmtId="0" fontId="12" fillId="0" borderId="0" xfId="1" applyFont="1" applyBorder="1"/>
    <xf numFmtId="0" fontId="8" fillId="0" borderId="15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15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left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7" fillId="0" borderId="0" xfId="1" applyFont="1" applyFill="1"/>
    <xf numFmtId="0" fontId="35" fillId="0" borderId="0" xfId="1" applyFont="1" applyFill="1"/>
    <xf numFmtId="164" fontId="8" fillId="0" borderId="20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3" xfId="48" applyNumberFormat="1" applyFont="1" applyFill="1" applyBorder="1" applyAlignment="1">
      <alignment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9" xfId="1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49" fontId="30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164" fontId="48" fillId="0" borderId="0" xfId="0" applyNumberFormat="1" applyFont="1" applyFill="1" applyAlignment="1">
      <alignment horizontal="center"/>
    </xf>
    <xf numFmtId="0" fontId="48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49" fontId="9" fillId="0" borderId="0" xfId="1" applyNumberFormat="1" applyFont="1" applyFill="1" applyAlignment="1">
      <alignment horizontal="left"/>
    </xf>
    <xf numFmtId="49" fontId="15" fillId="0" borderId="0" xfId="1" applyNumberFormat="1" applyFont="1" applyFill="1" applyAlignment="1">
      <alignment horizontal="center"/>
    </xf>
    <xf numFmtId="49" fontId="15" fillId="0" borderId="0" xfId="1" applyNumberFormat="1" applyFont="1" applyFill="1" applyAlignment="1">
      <alignment wrapText="1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9" fillId="0" borderId="0" xfId="1" applyNumberFormat="1" applyFont="1" applyFill="1" applyAlignment="1">
      <alignment horizontal="center" wrapText="1"/>
    </xf>
    <xf numFmtId="49" fontId="36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0" fontId="40" fillId="0" borderId="3" xfId="1" applyFont="1" applyFill="1" applyBorder="1" applyAlignment="1">
      <alignment horizontal="center"/>
    </xf>
    <xf numFmtId="0" fontId="15" fillId="0" borderId="0" xfId="1" applyNumberFormat="1" applyFont="1" applyFill="1" applyAlignment="1">
      <alignment horizontal="center"/>
    </xf>
    <xf numFmtId="0" fontId="15" fillId="0" borderId="3" xfId="1" applyFont="1" applyFill="1" applyBorder="1"/>
    <xf numFmtId="164" fontId="8" fillId="0" borderId="0" xfId="1" applyNumberFormat="1" applyFont="1" applyFill="1"/>
    <xf numFmtId="164" fontId="15" fillId="0" borderId="0" xfId="1" applyNumberFormat="1" applyFont="1" applyFill="1"/>
    <xf numFmtId="0" fontId="15" fillId="0" borderId="9" xfId="1" applyFont="1" applyFill="1" applyBorder="1"/>
    <xf numFmtId="164" fontId="15" fillId="0" borderId="0" xfId="1" applyNumberFormat="1" applyFont="1" applyFill="1" applyBorder="1"/>
    <xf numFmtId="0" fontId="15" fillId="0" borderId="0" xfId="1" applyFont="1" applyFill="1" applyBorder="1"/>
    <xf numFmtId="164" fontId="39" fillId="0" borderId="0" xfId="1" applyNumberFormat="1" applyFont="1" applyFill="1" applyAlignment="1">
      <alignment horizontal="center"/>
    </xf>
    <xf numFmtId="0" fontId="27" fillId="0" borderId="0" xfId="1" applyFont="1" applyFill="1" applyAlignment="1">
      <alignment vertical="justify"/>
    </xf>
    <xf numFmtId="49" fontId="37" fillId="0" borderId="0" xfId="1" applyNumberFormat="1" applyFont="1" applyFill="1" applyAlignment="1">
      <alignment vertical="justify"/>
    </xf>
    <xf numFmtId="49" fontId="36" fillId="0" borderId="0" xfId="1" applyNumberFormat="1" applyFont="1" applyFill="1" applyBorder="1" applyAlignment="1">
      <alignment horizontal="center" vertical="justify" wrapText="1"/>
    </xf>
    <xf numFmtId="49" fontId="8" fillId="0" borderId="0" xfId="1" applyNumberFormat="1" applyFont="1" applyFill="1" applyAlignment="1">
      <alignment vertical="justify"/>
    </xf>
    <xf numFmtId="49" fontId="15" fillId="0" borderId="0" xfId="1" applyNumberFormat="1" applyFont="1" applyFill="1" applyAlignment="1">
      <alignment vertical="justify"/>
    </xf>
    <xf numFmtId="49" fontId="9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horizontal="right" vertical="center" wrapText="1"/>
    </xf>
    <xf numFmtId="49" fontId="12" fillId="0" borderId="3" xfId="1" applyNumberFormat="1" applyFont="1" applyFill="1" applyBorder="1" applyAlignment="1">
      <alignment vertical="center" wrapText="1"/>
    </xf>
    <xf numFmtId="0" fontId="23" fillId="0" borderId="3" xfId="26" applyFont="1" applyFill="1" applyBorder="1" applyAlignment="1">
      <alignment vertical="center" wrapText="1"/>
    </xf>
    <xf numFmtId="49" fontId="8" fillId="0" borderId="3" xfId="1" applyNumberFormat="1" applyFont="1" applyFill="1" applyBorder="1" applyAlignment="1">
      <alignment vertical="center" wrapText="1"/>
    </xf>
    <xf numFmtId="0" fontId="26" fillId="0" borderId="3" xfId="24" applyFont="1" applyFill="1" applyBorder="1" applyAlignment="1">
      <alignment vertical="center" wrapText="1"/>
    </xf>
    <xf numFmtId="49" fontId="22" fillId="0" borderId="3" xfId="1" applyNumberFormat="1" applyFont="1" applyFill="1" applyBorder="1" applyAlignment="1">
      <alignment vertical="center" wrapText="1"/>
    </xf>
    <xf numFmtId="49" fontId="15" fillId="0" borderId="0" xfId="1" applyNumberFormat="1" applyFont="1" applyFill="1" applyAlignment="1">
      <alignment vertical="center" wrapText="1"/>
    </xf>
    <xf numFmtId="0" fontId="14" fillId="0" borderId="0" xfId="0" applyFont="1" applyFill="1"/>
    <xf numFmtId="2" fontId="14" fillId="0" borderId="0" xfId="0" applyNumberFormat="1" applyFont="1" applyFill="1"/>
    <xf numFmtId="0" fontId="31" fillId="0" borderId="0" xfId="0" applyFont="1" applyFill="1" applyAlignment="1">
      <alignment horizontal="right"/>
    </xf>
    <xf numFmtId="0" fontId="31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42" fillId="0" borderId="0" xfId="1" applyNumberFormat="1" applyFont="1" applyAlignment="1">
      <alignment vertical="justify"/>
    </xf>
    <xf numFmtId="0" fontId="0" fillId="0" borderId="0" xfId="0" applyAlignment="1">
      <alignment vertical="justify"/>
    </xf>
    <xf numFmtId="49" fontId="11" fillId="0" borderId="0" xfId="1" applyNumberFormat="1" applyFont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vertical="center" wrapText="1"/>
    </xf>
    <xf numFmtId="0" fontId="22" fillId="5" borderId="3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164" fontId="23" fillId="0" borderId="3" xfId="0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 vertical="justify" wrapText="1"/>
    </xf>
    <xf numFmtId="49" fontId="10" fillId="0" borderId="3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164" fontId="7" fillId="0" borderId="0" xfId="1" applyNumberFormat="1" applyFill="1"/>
    <xf numFmtId="166" fontId="8" fillId="0" borderId="3" xfId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horizontal="center" vertical="center"/>
    </xf>
    <xf numFmtId="49" fontId="22" fillId="4" borderId="3" xfId="1" applyNumberFormat="1" applyFont="1" applyFill="1" applyBorder="1" applyAlignment="1">
      <alignment horizontal="center" vertical="center" wrapText="1"/>
    </xf>
    <xf numFmtId="164" fontId="22" fillId="4" borderId="3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49" fontId="21" fillId="5" borderId="3" xfId="1" applyNumberFormat="1" applyFont="1" applyFill="1" applyBorder="1" applyAlignment="1">
      <alignment horizontal="center" vertical="center" wrapText="1"/>
    </xf>
    <xf numFmtId="49" fontId="22" fillId="5" borderId="3" xfId="1" applyNumberFormat="1" applyFont="1" applyFill="1" applyBorder="1" applyAlignment="1">
      <alignment horizontal="center" vertical="center" wrapText="1"/>
    </xf>
    <xf numFmtId="164" fontId="22" fillId="5" borderId="3" xfId="1" applyNumberFormat="1" applyFont="1" applyFill="1" applyBorder="1" applyAlignment="1">
      <alignment horizontal="center" vertical="center" wrapText="1"/>
    </xf>
    <xf numFmtId="164" fontId="22" fillId="6" borderId="3" xfId="1" applyNumberFormat="1" applyFont="1" applyFill="1" applyBorder="1" applyAlignment="1">
      <alignment horizontal="center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6" fontId="23" fillId="0" borderId="3" xfId="0" applyNumberFormat="1" applyFont="1" applyBorder="1" applyAlignment="1">
      <alignment horizontal="center" vertical="center"/>
    </xf>
    <xf numFmtId="164" fontId="33" fillId="0" borderId="3" xfId="1" applyNumberFormat="1" applyFont="1" applyFill="1" applyBorder="1" applyAlignment="1">
      <alignment horizontal="center" vertical="center" wrapText="1"/>
    </xf>
    <xf numFmtId="164" fontId="8" fillId="0" borderId="3" xfId="1" quotePrefix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6" fontId="46" fillId="0" borderId="3" xfId="0" applyNumberFormat="1" applyFont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23" fillId="5" borderId="3" xfId="0" applyFont="1" applyFill="1" applyBorder="1" applyAlignment="1">
      <alignment vertical="center"/>
    </xf>
    <xf numFmtId="0" fontId="23" fillId="6" borderId="3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49" fontId="9" fillId="4" borderId="3" xfId="1" applyNumberFormat="1" applyFont="1" applyFill="1" applyBorder="1" applyAlignment="1">
      <alignment horizontal="center" vertical="center"/>
    </xf>
    <xf numFmtId="49" fontId="8" fillId="4" borderId="3" xfId="1" applyNumberFormat="1" applyFont="1" applyFill="1" applyBorder="1" applyAlignment="1">
      <alignment horizontal="center" vertical="center"/>
    </xf>
    <xf numFmtId="164" fontId="8" fillId="4" borderId="3" xfId="1" applyNumberFormat="1" applyFont="1" applyFill="1" applyBorder="1" applyAlignment="1">
      <alignment horizontal="center" vertical="center"/>
    </xf>
    <xf numFmtId="164" fontId="22" fillId="6" borderId="1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0" borderId="1" xfId="1" quotePrefix="1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horizontal="center" vertical="center" wrapText="1"/>
    </xf>
    <xf numFmtId="166" fontId="50" fillId="0" borderId="3" xfId="0" applyNumberFormat="1" applyFont="1" applyBorder="1" applyAlignment="1">
      <alignment horizontal="center" vertical="center"/>
    </xf>
    <xf numFmtId="164" fontId="22" fillId="5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14" fontId="0" fillId="0" borderId="0" xfId="0" applyNumberFormat="1"/>
    <xf numFmtId="164" fontId="14" fillId="0" borderId="3" xfId="0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vertical="center"/>
    </xf>
    <xf numFmtId="49" fontId="22" fillId="0" borderId="3" xfId="1" applyNumberFormat="1" applyFont="1" applyFill="1" applyBorder="1" applyAlignment="1">
      <alignment vertical="center"/>
    </xf>
    <xf numFmtId="49" fontId="22" fillId="0" borderId="3" xfId="1" applyNumberFormat="1" applyFont="1" applyFill="1" applyBorder="1" applyAlignment="1">
      <alignment horizontal="center" vertical="center"/>
    </xf>
    <xf numFmtId="0" fontId="22" fillId="0" borderId="3" xfId="1" applyNumberFormat="1" applyFont="1" applyFill="1" applyBorder="1" applyAlignment="1">
      <alignment horizontal="center" vertical="center"/>
    </xf>
    <xf numFmtId="49" fontId="36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" xfId="1" applyNumberFormat="1" applyFont="1" applyFill="1" applyBorder="1" applyAlignment="1">
      <alignment horizontal="left" wrapText="1"/>
    </xf>
    <xf numFmtId="164" fontId="8" fillId="9" borderId="3" xfId="1" applyNumberFormat="1" applyFont="1" applyFill="1" applyBorder="1" applyAlignment="1">
      <alignment horizontal="center" wrapText="1"/>
    </xf>
    <xf numFmtId="164" fontId="12" fillId="9" borderId="3" xfId="1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horizontal="center" vertical="center"/>
    </xf>
    <xf numFmtId="0" fontId="8" fillId="0" borderId="3" xfId="1" applyFont="1" applyFill="1" applyBorder="1" applyAlignment="1">
      <alignment wrapText="1"/>
    </xf>
    <xf numFmtId="49" fontId="26" fillId="0" borderId="3" xfId="0" applyNumberFormat="1" applyFont="1" applyFill="1" applyBorder="1" applyAlignment="1">
      <alignment wrapText="1"/>
    </xf>
    <xf numFmtId="0" fontId="19" fillId="0" borderId="0" xfId="0" applyFont="1" applyFill="1"/>
    <xf numFmtId="0" fontId="26" fillId="0" borderId="3" xfId="25" applyFont="1" applyFill="1" applyBorder="1" applyAlignment="1">
      <alignment wrapText="1"/>
    </xf>
    <xf numFmtId="2" fontId="19" fillId="0" borderId="0" xfId="0" applyNumberFormat="1" applyFont="1"/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wrapText="1"/>
    </xf>
    <xf numFmtId="0" fontId="26" fillId="0" borderId="3" xfId="3" applyFont="1" applyFill="1" applyBorder="1" applyAlignment="1">
      <alignment wrapText="1"/>
    </xf>
    <xf numFmtId="0" fontId="47" fillId="0" borderId="3" xfId="26" applyFont="1" applyFill="1" applyBorder="1" applyAlignment="1">
      <alignment horizontal="justify" vertical="center"/>
    </xf>
    <xf numFmtId="0" fontId="26" fillId="0" borderId="3" xfId="27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49" fontId="36" fillId="0" borderId="0" xfId="1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8" borderId="0" xfId="0" applyFill="1"/>
    <xf numFmtId="4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 vertical="center"/>
    </xf>
    <xf numFmtId="0" fontId="26" fillId="0" borderId="0" xfId="0" applyFont="1" applyFill="1" applyAlignment="1">
      <alignment wrapText="1"/>
    </xf>
    <xf numFmtId="164" fontId="0" fillId="0" borderId="0" xfId="0" applyNumberFormat="1" applyFill="1"/>
    <xf numFmtId="4" fontId="23" fillId="0" borderId="3" xfId="0" applyNumberFormat="1" applyFont="1" applyFill="1" applyBorder="1" applyAlignment="1">
      <alignment horizontal="center" vertical="center"/>
    </xf>
    <xf numFmtId="164" fontId="51" fillId="0" borderId="0" xfId="1" applyNumberFormat="1" applyFont="1" applyAlignment="1">
      <alignment horizontal="left"/>
    </xf>
    <xf numFmtId="0" fontId="51" fillId="0" borderId="0" xfId="1" applyFont="1" applyAlignment="1"/>
    <xf numFmtId="164" fontId="51" fillId="2" borderId="0" xfId="1" applyNumberFormat="1" applyFont="1" applyFill="1" applyAlignment="1">
      <alignment horizontal="left"/>
    </xf>
    <xf numFmtId="0" fontId="51" fillId="2" borderId="0" xfId="1" applyFont="1" applyFill="1" applyAlignment="1">
      <alignment horizontal="left"/>
    </xf>
    <xf numFmtId="0" fontId="53" fillId="0" borderId="0" xfId="0" applyFont="1" applyFill="1"/>
    <xf numFmtId="0" fontId="14" fillId="0" borderId="0" xfId="0" applyFont="1" applyFill="1" applyAlignment="1">
      <alignment horizontal="center"/>
    </xf>
    <xf numFmtId="0" fontId="39" fillId="0" borderId="0" xfId="1" applyFont="1" applyFill="1" applyAlignment="1">
      <alignment horizontal="right"/>
    </xf>
    <xf numFmtId="0" fontId="54" fillId="0" borderId="0" xfId="0" applyFont="1" applyFill="1"/>
    <xf numFmtId="0" fontId="55" fillId="0" borderId="0" xfId="0" applyFont="1" applyFill="1"/>
    <xf numFmtId="0" fontId="23" fillId="0" borderId="2" xfId="24" applyFont="1" applyFill="1" applyBorder="1" applyAlignment="1"/>
    <xf numFmtId="0" fontId="47" fillId="0" borderId="3" xfId="24" applyFont="1" applyFill="1" applyBorder="1" applyAlignment="1">
      <alignment horizontal="justify"/>
    </xf>
    <xf numFmtId="0" fontId="32" fillId="0" borderId="0" xfId="0" applyFont="1" applyFill="1" applyAlignment="1"/>
    <xf numFmtId="49" fontId="30" fillId="0" borderId="1" xfId="1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left" wrapText="1"/>
    </xf>
    <xf numFmtId="0" fontId="26" fillId="0" borderId="2" xfId="24" applyFont="1" applyFill="1" applyBorder="1" applyAlignment="1">
      <alignment wrapText="1"/>
    </xf>
    <xf numFmtId="49" fontId="8" fillId="0" borderId="6" xfId="1" applyNumberFormat="1" applyFont="1" applyFill="1" applyBorder="1" applyAlignment="1">
      <alignment wrapText="1"/>
    </xf>
    <xf numFmtId="0" fontId="56" fillId="0" borderId="3" xfId="24" applyFont="1" applyFill="1" applyBorder="1" applyAlignment="1">
      <alignment wrapText="1"/>
    </xf>
    <xf numFmtId="0" fontId="54" fillId="0" borderId="0" xfId="1" applyFont="1" applyFill="1"/>
    <xf numFmtId="49" fontId="9" fillId="0" borderId="3" xfId="1" applyNumberFormat="1" applyFont="1" applyFill="1" applyBorder="1" applyAlignment="1">
      <alignment horizontal="center" vertical="justify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0" fontId="9" fillId="0" borderId="3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vertical="justify" wrapText="1"/>
    </xf>
    <xf numFmtId="0" fontId="8" fillId="0" borderId="3" xfId="1" applyNumberFormat="1" applyFont="1" applyFill="1" applyBorder="1" applyAlignment="1">
      <alignment horizont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0" fontId="26" fillId="0" borderId="3" xfId="28" applyFont="1" applyFill="1" applyBorder="1" applyAlignment="1">
      <alignment vertical="center"/>
    </xf>
    <xf numFmtId="0" fontId="26" fillId="0" borderId="3" xfId="28" applyFont="1" applyFill="1" applyBorder="1" applyAlignment="1">
      <alignment vertical="center" wrapText="1"/>
    </xf>
    <xf numFmtId="0" fontId="26" fillId="0" borderId="3" xfId="26" applyFont="1" applyFill="1" applyBorder="1" applyAlignment="1">
      <alignment vertical="center" wrapText="1"/>
    </xf>
    <xf numFmtId="164" fontId="22" fillId="0" borderId="3" xfId="1" applyNumberFormat="1" applyFont="1" applyFill="1" applyBorder="1" applyAlignment="1">
      <alignment horizontal="center" vertical="center"/>
    </xf>
    <xf numFmtId="0" fontId="27" fillId="0" borderId="0" xfId="1" applyFont="1" applyFill="1" applyAlignment="1">
      <alignment vertical="center"/>
    </xf>
    <xf numFmtId="49" fontId="37" fillId="0" borderId="0" xfId="1" applyNumberFormat="1" applyFont="1" applyFill="1" applyAlignment="1">
      <alignment vertical="center"/>
    </xf>
    <xf numFmtId="49" fontId="37" fillId="0" borderId="0" xfId="1" applyNumberFormat="1" applyFont="1" applyFill="1" applyAlignment="1">
      <alignment horizontal="center" vertical="center"/>
    </xf>
    <xf numFmtId="49" fontId="21" fillId="0" borderId="3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3" xfId="23" applyFont="1" applyFill="1" applyBorder="1" applyAlignment="1">
      <alignment horizontal="left" vertical="center" wrapText="1"/>
    </xf>
    <xf numFmtId="49" fontId="9" fillId="0" borderId="3" xfId="1" applyNumberFormat="1" applyFont="1" applyFill="1" applyBorder="1" applyAlignment="1">
      <alignment horizontal="left" vertical="center" wrapText="1"/>
    </xf>
    <xf numFmtId="0" fontId="26" fillId="0" borderId="3" xfId="23" applyFont="1" applyBorder="1" applyAlignment="1">
      <alignment horizontal="left" vertical="center" wrapText="1"/>
    </xf>
    <xf numFmtId="49" fontId="22" fillId="6" borderId="3" xfId="1" applyNumberFormat="1" applyFont="1" applyFill="1" applyBorder="1" applyAlignment="1">
      <alignment horizontal="left" vertical="center" wrapText="1"/>
    </xf>
    <xf numFmtId="0" fontId="26" fillId="0" borderId="3" xfId="4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47" fillId="0" borderId="3" xfId="3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6" borderId="3" xfId="24" applyFont="1" applyFill="1" applyBorder="1" applyAlignment="1">
      <alignment horizontal="left" vertical="center" wrapText="1"/>
    </xf>
    <xf numFmtId="0" fontId="26" fillId="4" borderId="3" xfId="24" applyFont="1" applyFill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 wrapText="1"/>
    </xf>
    <xf numFmtId="0" fontId="26" fillId="4" borderId="3" xfId="3" applyFont="1" applyFill="1" applyBorder="1" applyAlignment="1">
      <alignment horizontal="left" vertical="center" wrapText="1"/>
    </xf>
    <xf numFmtId="0" fontId="22" fillId="5" borderId="3" xfId="1" applyFont="1" applyFill="1" applyBorder="1" applyAlignment="1">
      <alignment horizontal="center" vertical="center" wrapText="1"/>
    </xf>
    <xf numFmtId="49" fontId="22" fillId="6" borderId="3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left" vertical="center" wrapText="1"/>
    </xf>
    <xf numFmtId="0" fontId="26" fillId="4" borderId="3" xfId="3" applyFont="1" applyFill="1" applyBorder="1" applyAlignment="1">
      <alignment horizontal="left" vertical="center"/>
    </xf>
    <xf numFmtId="0" fontId="23" fillId="0" borderId="3" xfId="23" applyFont="1" applyFill="1" applyBorder="1" applyAlignment="1">
      <alignment horizontal="left" vertical="center" wrapText="1"/>
    </xf>
    <xf numFmtId="0" fontId="26" fillId="0" borderId="3" xfId="23" applyFont="1" applyBorder="1" applyAlignment="1">
      <alignment horizontal="left" vertical="center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left" vertical="center" wrapText="1"/>
    </xf>
    <xf numFmtId="164" fontId="8" fillId="5" borderId="3" xfId="1" applyNumberFormat="1" applyFont="1" applyFill="1" applyBorder="1" applyAlignment="1">
      <alignment horizontal="center" vertical="center" wrapText="1"/>
    </xf>
    <xf numFmtId="164" fontId="8" fillId="6" borderId="3" xfId="1" applyNumberFormat="1" applyFont="1" applyFill="1" applyBorder="1" applyAlignment="1">
      <alignment horizontal="center" vertical="center" wrapText="1"/>
    </xf>
    <xf numFmtId="14" fontId="8" fillId="0" borderId="3" xfId="1" applyNumberFormat="1" applyFont="1" applyFill="1" applyBorder="1" applyAlignment="1">
      <alignment horizontal="center" vertical="center" wrapText="1"/>
    </xf>
    <xf numFmtId="16" fontId="8" fillId="4" borderId="3" xfId="1" applyNumberFormat="1" applyFont="1" applyFill="1" applyBorder="1" applyAlignment="1">
      <alignment horizontal="center" vertical="center" wrapText="1"/>
    </xf>
    <xf numFmtId="49" fontId="12" fillId="4" borderId="3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horizontal="left" vertical="center" wrapText="1"/>
    </xf>
    <xf numFmtId="49" fontId="22" fillId="4" borderId="3" xfId="1" applyNumberFormat="1" applyFont="1" applyFill="1" applyBorder="1" applyAlignment="1">
      <alignment horizontal="left" vertical="center" wrapText="1"/>
    </xf>
    <xf numFmtId="49" fontId="22" fillId="5" borderId="3" xfId="1" applyNumberFormat="1" applyFont="1" applyFill="1" applyBorder="1" applyAlignment="1">
      <alignment horizontal="left" vertic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center" vertical="center"/>
    </xf>
    <xf numFmtId="2" fontId="8" fillId="0" borderId="12" xfId="1" applyNumberFormat="1" applyFont="1" applyFill="1" applyBorder="1" applyAlignment="1">
      <alignment horizontal="center" vertical="center"/>
    </xf>
    <xf numFmtId="0" fontId="39" fillId="0" borderId="0" xfId="1" applyFont="1" applyFill="1" applyAlignment="1">
      <alignment horizontal="right"/>
    </xf>
    <xf numFmtId="0" fontId="52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9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9" fontId="9" fillId="0" borderId="3" xfId="1" applyNumberFormat="1" applyFont="1" applyFill="1" applyBorder="1" applyAlignment="1">
      <alignment horizontal="center" vertical="center" wrapText="1"/>
    </xf>
    <xf numFmtId="2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9" fontId="44" fillId="0" borderId="3" xfId="1" applyNumberFormat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left" wrapText="1"/>
    </xf>
    <xf numFmtId="49" fontId="43" fillId="0" borderId="5" xfId="1" applyNumberFormat="1" applyFont="1" applyBorder="1" applyAlignment="1">
      <alignment horizontal="center" vertical="center" wrapText="1"/>
    </xf>
    <xf numFmtId="49" fontId="44" fillId="0" borderId="3" xfId="1" applyNumberFormat="1" applyFont="1" applyFill="1" applyBorder="1" applyAlignment="1">
      <alignment horizontal="center" vertical="center" wrapText="1"/>
    </xf>
    <xf numFmtId="166" fontId="45" fillId="0" borderId="3" xfId="0" applyNumberFormat="1" applyFont="1" applyBorder="1" applyAlignment="1">
      <alignment horizontal="center" vertical="center" wrapText="1"/>
    </xf>
    <xf numFmtId="0" fontId="54" fillId="0" borderId="0" xfId="1" applyFont="1" applyFill="1" applyAlignment="1">
      <alignment horizontal="right"/>
    </xf>
    <xf numFmtId="0" fontId="12" fillId="0" borderId="0" xfId="1" applyFont="1" applyFill="1" applyAlignment="1"/>
    <xf numFmtId="0" fontId="54" fillId="0" borderId="0" xfId="1" applyFont="1" applyFill="1" applyAlignment="1">
      <alignment horizontal="right"/>
    </xf>
    <xf numFmtId="49" fontId="22" fillId="0" borderId="0" xfId="1" applyNumberFormat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right"/>
    </xf>
    <xf numFmtId="0" fontId="31" fillId="0" borderId="0" xfId="0" applyFont="1" applyFill="1" applyAlignment="1">
      <alignment horizontal="center" wrapText="1"/>
    </xf>
  </cellXfs>
  <cellStyles count="50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3"/>
  <sheetViews>
    <sheetView view="pageBreakPreview" topLeftCell="A22" zoomScale="70" zoomScaleNormal="70" zoomScaleSheetLayoutView="70" workbookViewId="0">
      <selection activeCell="A10" sqref="A10"/>
    </sheetView>
  </sheetViews>
  <sheetFormatPr defaultRowHeight="15" x14ac:dyDescent="0.25"/>
  <cols>
    <col min="1" max="1" width="18.85546875" customWidth="1"/>
    <col min="2" max="2" width="21.42578125" customWidth="1"/>
    <col min="3" max="3" width="30.140625" customWidth="1"/>
    <col min="4" max="4" width="90.140625" customWidth="1"/>
    <col min="5" max="5" width="21.28515625" style="57" customWidth="1"/>
    <col min="6" max="7" width="21.28515625" style="10" customWidth="1"/>
    <col min="8" max="8" width="16.7109375" customWidth="1"/>
    <col min="9" max="9" width="17.140625" customWidth="1"/>
    <col min="10" max="10" width="18.140625" customWidth="1"/>
    <col min="12" max="12" width="52.42578125" customWidth="1"/>
  </cols>
  <sheetData>
    <row r="1" spans="1:9" ht="15.75" x14ac:dyDescent="0.25">
      <c r="B1" s="167"/>
    </row>
    <row r="2" spans="1:9" ht="23.25" x14ac:dyDescent="0.35">
      <c r="A2" s="149"/>
      <c r="B2" s="10"/>
      <c r="C2" s="53"/>
      <c r="D2" s="10"/>
      <c r="E2" s="317"/>
      <c r="F2" s="391" t="s">
        <v>392</v>
      </c>
      <c r="G2" s="391"/>
    </row>
    <row r="3" spans="1:9" ht="23.25" x14ac:dyDescent="0.35">
      <c r="A3" s="53"/>
      <c r="B3" s="53"/>
      <c r="C3" s="53"/>
      <c r="D3" s="10"/>
      <c r="E3" s="414" t="s">
        <v>17</v>
      </c>
      <c r="F3" s="414"/>
      <c r="G3" s="414"/>
    </row>
    <row r="4" spans="1:9" ht="23.25" x14ac:dyDescent="0.35">
      <c r="A4" s="150"/>
      <c r="B4" s="53"/>
      <c r="C4" s="53"/>
      <c r="D4" s="10"/>
      <c r="E4" s="414" t="s">
        <v>16</v>
      </c>
      <c r="F4" s="414"/>
      <c r="G4" s="414"/>
    </row>
    <row r="5" spans="1:9" ht="23.25" x14ac:dyDescent="0.35">
      <c r="A5" s="53"/>
      <c r="B5" s="53"/>
      <c r="C5" s="53"/>
      <c r="D5" s="10"/>
      <c r="E5" s="414" t="s">
        <v>889</v>
      </c>
      <c r="F5" s="414"/>
      <c r="G5" s="414"/>
    </row>
    <row r="6" spans="1:9" ht="22.5" x14ac:dyDescent="0.3">
      <c r="A6" s="53"/>
      <c r="B6" s="53"/>
      <c r="C6" s="53"/>
      <c r="D6" s="10"/>
      <c r="E6" s="319"/>
      <c r="F6" s="319"/>
      <c r="G6" s="319"/>
    </row>
    <row r="7" spans="1:9" ht="22.5" x14ac:dyDescent="0.3">
      <c r="A7" s="53"/>
      <c r="B7" s="53"/>
      <c r="C7" s="53"/>
      <c r="D7" s="10"/>
      <c r="E7" s="319"/>
      <c r="F7" s="319"/>
      <c r="G7" s="319"/>
    </row>
    <row r="8" spans="1:9" ht="15.75" x14ac:dyDescent="0.25">
      <c r="A8" s="53"/>
      <c r="B8" s="53"/>
      <c r="C8" s="53"/>
      <c r="D8" s="53"/>
      <c r="E8" s="64"/>
      <c r="F8" s="78"/>
    </row>
    <row r="9" spans="1:9" ht="20.25" x14ac:dyDescent="0.3">
      <c r="A9" s="392" t="s">
        <v>890</v>
      </c>
      <c r="B9" s="392"/>
      <c r="C9" s="392"/>
      <c r="D9" s="392"/>
      <c r="E9" s="392"/>
      <c r="F9" s="392"/>
      <c r="G9" s="392"/>
      <c r="H9" s="279">
        <v>43152</v>
      </c>
      <c r="I9" s="279">
        <v>43203</v>
      </c>
    </row>
    <row r="10" spans="1:9" ht="16.5" thickBot="1" x14ac:dyDescent="0.3">
      <c r="A10" s="53"/>
      <c r="B10" s="53"/>
      <c r="C10" s="393"/>
      <c r="D10" s="393"/>
      <c r="E10" s="65"/>
      <c r="F10" s="53"/>
      <c r="G10" s="318" t="s">
        <v>399</v>
      </c>
    </row>
    <row r="11" spans="1:9" ht="18.75" x14ac:dyDescent="0.25">
      <c r="A11" s="394" t="s">
        <v>317</v>
      </c>
      <c r="B11" s="396" t="s">
        <v>394</v>
      </c>
      <c r="C11" s="396" t="s">
        <v>393</v>
      </c>
      <c r="D11" s="396" t="s">
        <v>318</v>
      </c>
      <c r="E11" s="396" t="s">
        <v>395</v>
      </c>
      <c r="F11" s="389" t="s">
        <v>396</v>
      </c>
      <c r="G11" s="390"/>
    </row>
    <row r="12" spans="1:9" ht="18.75" x14ac:dyDescent="0.3">
      <c r="A12" s="395"/>
      <c r="B12" s="397"/>
      <c r="C12" s="397"/>
      <c r="D12" s="397"/>
      <c r="E12" s="397"/>
      <c r="F12" s="81" t="s">
        <v>397</v>
      </c>
      <c r="G12" s="84" t="s">
        <v>398</v>
      </c>
    </row>
    <row r="13" spans="1:9" ht="18.75" x14ac:dyDescent="0.3">
      <c r="A13" s="136">
        <v>1</v>
      </c>
      <c r="B13" s="137">
        <v>2</v>
      </c>
      <c r="C13" s="137">
        <v>3</v>
      </c>
      <c r="D13" s="82">
        <v>4</v>
      </c>
      <c r="E13" s="82">
        <v>5</v>
      </c>
      <c r="F13" s="83">
        <v>6</v>
      </c>
      <c r="G13" s="85">
        <v>7</v>
      </c>
    </row>
    <row r="14" spans="1:9" ht="18.75" x14ac:dyDescent="0.25">
      <c r="A14" s="138" t="s">
        <v>319</v>
      </c>
      <c r="B14" s="83" t="s">
        <v>320</v>
      </c>
      <c r="C14" s="139" t="s">
        <v>793</v>
      </c>
      <c r="D14" s="140" t="s">
        <v>321</v>
      </c>
      <c r="E14" s="67">
        <f>E15+E29+E36</f>
        <v>61520.9</v>
      </c>
      <c r="F14" s="67">
        <f>F15+F29+F36</f>
        <v>64901.700000000004</v>
      </c>
      <c r="G14" s="151">
        <f>G15+G29+G36</f>
        <v>70288.2</v>
      </c>
    </row>
    <row r="15" spans="1:9" ht="18.75" x14ac:dyDescent="0.25">
      <c r="A15" s="141" t="s">
        <v>0</v>
      </c>
      <c r="B15" s="142" t="s">
        <v>320</v>
      </c>
      <c r="C15" s="139" t="s">
        <v>794</v>
      </c>
      <c r="D15" s="140" t="s">
        <v>322</v>
      </c>
      <c r="E15" s="68">
        <f>E16+E24+E27</f>
        <v>57348.800000000003</v>
      </c>
      <c r="F15" s="68">
        <f t="shared" ref="F15:G15" si="0">F16+F24+F27</f>
        <v>61391.700000000004</v>
      </c>
      <c r="G15" s="86">
        <f t="shared" si="0"/>
        <v>66618.899999999994</v>
      </c>
    </row>
    <row r="16" spans="1:9" ht="37.5" x14ac:dyDescent="0.25">
      <c r="A16" s="141" t="s">
        <v>1</v>
      </c>
      <c r="B16" s="142" t="s">
        <v>320</v>
      </c>
      <c r="C16" s="139" t="s">
        <v>795</v>
      </c>
      <c r="D16" s="140" t="s">
        <v>324</v>
      </c>
      <c r="E16" s="68">
        <f>E17+E20+E23</f>
        <v>39942.300000000003</v>
      </c>
      <c r="F16" s="68">
        <f t="shared" ref="F16:G16" si="1">F17+F20+F23</f>
        <v>42810.3</v>
      </c>
      <c r="G16" s="86">
        <f t="shared" si="1"/>
        <v>46363.6</v>
      </c>
    </row>
    <row r="17" spans="1:8" ht="37.5" x14ac:dyDescent="0.25">
      <c r="A17" s="141" t="s">
        <v>2</v>
      </c>
      <c r="B17" s="142" t="s">
        <v>320</v>
      </c>
      <c r="C17" s="139" t="s">
        <v>796</v>
      </c>
      <c r="D17" s="140" t="s">
        <v>797</v>
      </c>
      <c r="E17" s="68">
        <f>E18+E19</f>
        <v>27643.7</v>
      </c>
      <c r="F17" s="68">
        <f t="shared" ref="F17:G17" si="2">F18+F19</f>
        <v>29636.799999999999</v>
      </c>
      <c r="G17" s="86">
        <f t="shared" si="2"/>
        <v>32096.7</v>
      </c>
    </row>
    <row r="18" spans="1:8" ht="37.5" x14ac:dyDescent="0.25">
      <c r="A18" s="88" t="s">
        <v>325</v>
      </c>
      <c r="B18" s="70" t="s">
        <v>323</v>
      </c>
      <c r="C18" s="71" t="s">
        <v>798</v>
      </c>
      <c r="D18" s="72" t="s">
        <v>797</v>
      </c>
      <c r="E18" s="94">
        <v>27642.7</v>
      </c>
      <c r="F18" s="94">
        <v>29635.8</v>
      </c>
      <c r="G18" s="87">
        <v>32095.7</v>
      </c>
    </row>
    <row r="19" spans="1:8" ht="56.25" x14ac:dyDescent="0.25">
      <c r="A19" s="88" t="s">
        <v>326</v>
      </c>
      <c r="B19" s="70" t="s">
        <v>323</v>
      </c>
      <c r="C19" s="71" t="s">
        <v>799</v>
      </c>
      <c r="D19" s="72" t="s">
        <v>327</v>
      </c>
      <c r="E19" s="69">
        <v>1</v>
      </c>
      <c r="F19" s="94">
        <v>1</v>
      </c>
      <c r="G19" s="93">
        <v>1</v>
      </c>
    </row>
    <row r="20" spans="1:8" ht="39" customHeight="1" x14ac:dyDescent="0.25">
      <c r="A20" s="141" t="s">
        <v>328</v>
      </c>
      <c r="B20" s="142" t="s">
        <v>320</v>
      </c>
      <c r="C20" s="139" t="s">
        <v>800</v>
      </c>
      <c r="D20" s="140" t="s">
        <v>329</v>
      </c>
      <c r="E20" s="68">
        <f>E21+E22</f>
        <v>12286.6</v>
      </c>
      <c r="F20" s="68">
        <f t="shared" ref="F20:G20" si="3">F21+F22</f>
        <v>13172.5</v>
      </c>
      <c r="G20" s="86">
        <f t="shared" si="3"/>
        <v>14265.9</v>
      </c>
    </row>
    <row r="21" spans="1:8" ht="75" x14ac:dyDescent="0.25">
      <c r="A21" s="88" t="s">
        <v>330</v>
      </c>
      <c r="B21" s="70" t="s">
        <v>323</v>
      </c>
      <c r="C21" s="71" t="s">
        <v>801</v>
      </c>
      <c r="D21" s="72" t="s">
        <v>802</v>
      </c>
      <c r="E21" s="94">
        <v>12285.6</v>
      </c>
      <c r="F21" s="94">
        <v>13171.5</v>
      </c>
      <c r="G21" s="93">
        <v>14264.9</v>
      </c>
    </row>
    <row r="22" spans="1:8" s="10" customFormat="1" ht="56.25" x14ac:dyDescent="0.25">
      <c r="A22" s="88" t="s">
        <v>331</v>
      </c>
      <c r="B22" s="70" t="s">
        <v>323</v>
      </c>
      <c r="C22" s="71" t="s">
        <v>803</v>
      </c>
      <c r="D22" s="72" t="s">
        <v>332</v>
      </c>
      <c r="E22" s="69">
        <v>1</v>
      </c>
      <c r="F22" s="69">
        <v>1</v>
      </c>
      <c r="G22" s="93">
        <v>1</v>
      </c>
      <c r="H22" s="80"/>
    </row>
    <row r="23" spans="1:8" s="10" customFormat="1" ht="43.5" customHeight="1" x14ac:dyDescent="0.25">
      <c r="A23" s="141" t="s">
        <v>333</v>
      </c>
      <c r="B23" s="142" t="s">
        <v>320</v>
      </c>
      <c r="C23" s="139" t="s">
        <v>334</v>
      </c>
      <c r="D23" s="140" t="s">
        <v>804</v>
      </c>
      <c r="E23" s="68">
        <f>1+11</f>
        <v>12</v>
      </c>
      <c r="F23" s="95">
        <v>1</v>
      </c>
      <c r="G23" s="96">
        <v>1</v>
      </c>
      <c r="H23" s="286" t="s">
        <v>833</v>
      </c>
    </row>
    <row r="24" spans="1:8" s="10" customFormat="1" ht="29.25" customHeight="1" x14ac:dyDescent="0.25">
      <c r="A24" s="141" t="s">
        <v>3</v>
      </c>
      <c r="B24" s="142" t="s">
        <v>320</v>
      </c>
      <c r="C24" s="139" t="s">
        <v>805</v>
      </c>
      <c r="D24" s="140" t="s">
        <v>335</v>
      </c>
      <c r="E24" s="68">
        <f>E25+E26</f>
        <v>13863.8</v>
      </c>
      <c r="F24" s="68">
        <f>F25+F26</f>
        <v>13798.8</v>
      </c>
      <c r="G24" s="86">
        <f t="shared" ref="G24" si="4">G25+G26</f>
        <v>13798.8</v>
      </c>
      <c r="H24" s="171"/>
    </row>
    <row r="25" spans="1:8" s="10" customFormat="1" ht="31.5" customHeight="1" x14ac:dyDescent="0.25">
      <c r="A25" s="88" t="s">
        <v>4</v>
      </c>
      <c r="B25" s="70" t="s">
        <v>323</v>
      </c>
      <c r="C25" s="71" t="s">
        <v>806</v>
      </c>
      <c r="D25" s="72" t="s">
        <v>335</v>
      </c>
      <c r="E25" s="69">
        <v>13862.8</v>
      </c>
      <c r="F25" s="69">
        <v>13797.8</v>
      </c>
      <c r="G25" s="87">
        <v>13797.8</v>
      </c>
      <c r="H25" s="286">
        <f>96-31</f>
        <v>65</v>
      </c>
    </row>
    <row r="26" spans="1:8" s="10" customFormat="1" ht="37.5" x14ac:dyDescent="0.25">
      <c r="A26" s="88" t="s">
        <v>5</v>
      </c>
      <c r="B26" s="70" t="s">
        <v>323</v>
      </c>
      <c r="C26" s="71" t="s">
        <v>807</v>
      </c>
      <c r="D26" s="72" t="s">
        <v>336</v>
      </c>
      <c r="E26" s="69">
        <v>1</v>
      </c>
      <c r="F26" s="69">
        <v>1</v>
      </c>
      <c r="G26" s="93">
        <v>1</v>
      </c>
    </row>
    <row r="27" spans="1:8" s="10" customFormat="1" ht="37.5" x14ac:dyDescent="0.25">
      <c r="A27" s="141" t="s">
        <v>6</v>
      </c>
      <c r="B27" s="142" t="s">
        <v>320</v>
      </c>
      <c r="C27" s="139" t="s">
        <v>808</v>
      </c>
      <c r="D27" s="140" t="s">
        <v>809</v>
      </c>
      <c r="E27" s="68">
        <f>E28</f>
        <v>3542.7</v>
      </c>
      <c r="F27" s="68">
        <f t="shared" ref="F27:G27" si="5">F28</f>
        <v>4782.6000000000004</v>
      </c>
      <c r="G27" s="86">
        <f t="shared" si="5"/>
        <v>6456.5</v>
      </c>
    </row>
    <row r="28" spans="1:8" s="10" customFormat="1" ht="44.25" customHeight="1" x14ac:dyDescent="0.25">
      <c r="A28" s="88" t="s">
        <v>7</v>
      </c>
      <c r="B28" s="70" t="s">
        <v>323</v>
      </c>
      <c r="C28" s="70" t="s">
        <v>337</v>
      </c>
      <c r="D28" s="145" t="s">
        <v>338</v>
      </c>
      <c r="E28" s="69">
        <v>3542.7</v>
      </c>
      <c r="F28" s="69">
        <v>4782.6000000000004</v>
      </c>
      <c r="G28" s="93">
        <v>6456.5</v>
      </c>
    </row>
    <row r="29" spans="1:8" ht="37.5" x14ac:dyDescent="0.25">
      <c r="A29" s="141" t="s">
        <v>41</v>
      </c>
      <c r="B29" s="142" t="s">
        <v>320</v>
      </c>
      <c r="C29" s="139" t="s">
        <v>339</v>
      </c>
      <c r="D29" s="140" t="s">
        <v>340</v>
      </c>
      <c r="E29" s="68">
        <f>E30+E32</f>
        <v>21.2</v>
      </c>
      <c r="F29" s="68">
        <f>F30+F32</f>
        <v>21.2</v>
      </c>
      <c r="G29" s="86">
        <f>G30+G32</f>
        <v>21.2</v>
      </c>
    </row>
    <row r="30" spans="1:8" ht="18.75" x14ac:dyDescent="0.25">
      <c r="A30" s="141" t="s">
        <v>44</v>
      </c>
      <c r="B30" s="142" t="s">
        <v>320</v>
      </c>
      <c r="C30" s="139" t="s">
        <v>810</v>
      </c>
      <c r="D30" s="140" t="s">
        <v>341</v>
      </c>
      <c r="E30" s="68">
        <f>E31</f>
        <v>6.3</v>
      </c>
      <c r="F30" s="68">
        <f t="shared" ref="F30:G30" si="6">F31</f>
        <v>6.3</v>
      </c>
      <c r="G30" s="86">
        <f t="shared" si="6"/>
        <v>6.3</v>
      </c>
    </row>
    <row r="31" spans="1:8" ht="56.25" x14ac:dyDescent="0.25">
      <c r="A31" s="88" t="s">
        <v>62</v>
      </c>
      <c r="B31" s="70" t="s">
        <v>10</v>
      </c>
      <c r="C31" s="71" t="s">
        <v>811</v>
      </c>
      <c r="D31" s="72" t="s">
        <v>343</v>
      </c>
      <c r="E31" s="69">
        <v>6.3</v>
      </c>
      <c r="F31" s="69">
        <v>6.3</v>
      </c>
      <c r="G31" s="87">
        <v>6.3</v>
      </c>
    </row>
    <row r="32" spans="1:8" ht="18.75" x14ac:dyDescent="0.25">
      <c r="A32" s="141" t="s">
        <v>45</v>
      </c>
      <c r="B32" s="142" t="s">
        <v>320</v>
      </c>
      <c r="C32" s="139" t="s">
        <v>812</v>
      </c>
      <c r="D32" s="140" t="s">
        <v>344</v>
      </c>
      <c r="E32" s="68">
        <f>E33</f>
        <v>14.9</v>
      </c>
      <c r="F32" s="68">
        <f t="shared" ref="F32:G32" si="7">F33</f>
        <v>14.9</v>
      </c>
      <c r="G32" s="86">
        <f t="shared" si="7"/>
        <v>14.9</v>
      </c>
    </row>
    <row r="33" spans="1:10" ht="18.75" x14ac:dyDescent="0.25">
      <c r="A33" s="141" t="s">
        <v>288</v>
      </c>
      <c r="B33" s="142" t="s">
        <v>320</v>
      </c>
      <c r="C33" s="139" t="s">
        <v>813</v>
      </c>
      <c r="D33" s="140" t="s">
        <v>345</v>
      </c>
      <c r="E33" s="68">
        <f>E35</f>
        <v>14.9</v>
      </c>
      <c r="F33" s="68">
        <f t="shared" ref="F33:G33" si="8">F35</f>
        <v>14.9</v>
      </c>
      <c r="G33" s="86">
        <f t="shared" si="8"/>
        <v>14.9</v>
      </c>
    </row>
    <row r="34" spans="1:10" ht="37.5" x14ac:dyDescent="0.25">
      <c r="A34" s="141" t="s">
        <v>346</v>
      </c>
      <c r="B34" s="142" t="s">
        <v>320</v>
      </c>
      <c r="C34" s="139" t="s">
        <v>814</v>
      </c>
      <c r="D34" s="140" t="s">
        <v>347</v>
      </c>
      <c r="E34" s="68">
        <f>E35</f>
        <v>14.9</v>
      </c>
      <c r="F34" s="68">
        <f t="shared" ref="F34:G34" si="9">F35</f>
        <v>14.9</v>
      </c>
      <c r="G34" s="86">
        <f t="shared" si="9"/>
        <v>14.9</v>
      </c>
    </row>
    <row r="35" spans="1:10" ht="78" customHeight="1" x14ac:dyDescent="0.25">
      <c r="A35" s="88" t="s">
        <v>348</v>
      </c>
      <c r="B35" s="70" t="s">
        <v>349</v>
      </c>
      <c r="C35" s="71" t="s">
        <v>815</v>
      </c>
      <c r="D35" s="155" t="s">
        <v>836</v>
      </c>
      <c r="E35" s="69">
        <v>14.9</v>
      </c>
      <c r="F35" s="91">
        <v>14.9</v>
      </c>
      <c r="G35" s="89">
        <v>14.9</v>
      </c>
    </row>
    <row r="36" spans="1:10" ht="18.75" x14ac:dyDescent="0.25">
      <c r="A36" s="141" t="s">
        <v>8</v>
      </c>
      <c r="B36" s="142" t="s">
        <v>320</v>
      </c>
      <c r="C36" s="152" t="s">
        <v>816</v>
      </c>
      <c r="D36" s="140" t="s">
        <v>350</v>
      </c>
      <c r="E36" s="68">
        <f>E37+E38+E40</f>
        <v>4150.9000000000005</v>
      </c>
      <c r="F36" s="68">
        <f t="shared" ref="F36" si="10">F37+F38+F40</f>
        <v>3488.8000000000006</v>
      </c>
      <c r="G36" s="86">
        <f>G37+G38+G40</f>
        <v>3648.1</v>
      </c>
    </row>
    <row r="37" spans="1:10" ht="56.25" x14ac:dyDescent="0.25">
      <c r="A37" s="88" t="s">
        <v>65</v>
      </c>
      <c r="B37" s="70" t="s">
        <v>323</v>
      </c>
      <c r="C37" s="73" t="s">
        <v>817</v>
      </c>
      <c r="D37" s="72" t="s">
        <v>818</v>
      </c>
      <c r="E37" s="69">
        <v>484</v>
      </c>
      <c r="F37" s="92">
        <v>484</v>
      </c>
      <c r="G37" s="97">
        <v>484</v>
      </c>
    </row>
    <row r="38" spans="1:10" ht="40.5" customHeight="1" x14ac:dyDescent="0.25">
      <c r="A38" s="141" t="s">
        <v>69</v>
      </c>
      <c r="B38" s="142" t="s">
        <v>320</v>
      </c>
      <c r="C38" s="152" t="s">
        <v>351</v>
      </c>
      <c r="D38" s="140" t="s">
        <v>819</v>
      </c>
      <c r="E38" s="68">
        <f>E39</f>
        <v>1</v>
      </c>
      <c r="F38" s="68">
        <f t="shared" ref="F38:G38" si="11">F39</f>
        <v>1</v>
      </c>
      <c r="G38" s="86">
        <f t="shared" si="11"/>
        <v>1</v>
      </c>
    </row>
    <row r="39" spans="1:10" ht="75" x14ac:dyDescent="0.25">
      <c r="A39" s="88" t="s">
        <v>72</v>
      </c>
      <c r="B39" s="70" t="s">
        <v>323</v>
      </c>
      <c r="C39" s="73" t="s">
        <v>352</v>
      </c>
      <c r="D39" s="72" t="s">
        <v>820</v>
      </c>
      <c r="E39" s="69">
        <v>1</v>
      </c>
      <c r="F39" s="69">
        <v>1</v>
      </c>
      <c r="G39" s="93">
        <v>1</v>
      </c>
    </row>
    <row r="40" spans="1:10" ht="37.5" x14ac:dyDescent="0.25">
      <c r="A40" s="141" t="s">
        <v>73</v>
      </c>
      <c r="B40" s="142" t="s">
        <v>320</v>
      </c>
      <c r="C40" s="152" t="s">
        <v>821</v>
      </c>
      <c r="D40" s="140" t="s">
        <v>353</v>
      </c>
      <c r="E40" s="68">
        <f>SUM(E41)</f>
        <v>3665.9000000000005</v>
      </c>
      <c r="F40" s="68">
        <f t="shared" ref="F40:G40" si="12">SUM(F41)</f>
        <v>3003.8000000000006</v>
      </c>
      <c r="G40" s="86">
        <f t="shared" si="12"/>
        <v>3163.1</v>
      </c>
    </row>
    <row r="41" spans="1:10" ht="75" x14ac:dyDescent="0.25">
      <c r="A41" s="141" t="s">
        <v>74</v>
      </c>
      <c r="B41" s="142" t="s">
        <v>320</v>
      </c>
      <c r="C41" s="153" t="s">
        <v>354</v>
      </c>
      <c r="D41" s="140" t="s">
        <v>822</v>
      </c>
      <c r="E41" s="68">
        <f>SUM(E42:E48)</f>
        <v>3665.9000000000005</v>
      </c>
      <c r="F41" s="68">
        <f t="shared" ref="F41:G41" si="13">SUM(F42:F48)</f>
        <v>3003.8000000000006</v>
      </c>
      <c r="G41" s="86">
        <f t="shared" si="13"/>
        <v>3163.1</v>
      </c>
    </row>
    <row r="42" spans="1:10" ht="75" x14ac:dyDescent="0.25">
      <c r="A42" s="88" t="s">
        <v>355</v>
      </c>
      <c r="B42" s="70" t="s">
        <v>356</v>
      </c>
      <c r="C42" s="73" t="s">
        <v>357</v>
      </c>
      <c r="D42" s="72" t="s">
        <v>390</v>
      </c>
      <c r="E42" s="94">
        <f>2400.3+I42-J42</f>
        <v>3176.3</v>
      </c>
      <c r="F42" s="69">
        <v>2529.9</v>
      </c>
      <c r="G42" s="87">
        <v>2664.1</v>
      </c>
      <c r="I42" s="234">
        <v>796</v>
      </c>
      <c r="J42" s="234">
        <v>20</v>
      </c>
    </row>
    <row r="43" spans="1:10" ht="75" x14ac:dyDescent="0.25">
      <c r="A43" s="88" t="s">
        <v>358</v>
      </c>
      <c r="B43" s="70" t="s">
        <v>359</v>
      </c>
      <c r="C43" s="73" t="s">
        <v>357</v>
      </c>
      <c r="D43" s="72" t="s">
        <v>390</v>
      </c>
      <c r="E43" s="94">
        <v>48.6</v>
      </c>
      <c r="F43" s="69">
        <v>51.3</v>
      </c>
      <c r="G43" s="87">
        <v>54</v>
      </c>
    </row>
    <row r="44" spans="1:10" s="10" customFormat="1" ht="75" x14ac:dyDescent="0.25">
      <c r="A44" s="88" t="s">
        <v>360</v>
      </c>
      <c r="B44" s="70" t="s">
        <v>361</v>
      </c>
      <c r="C44" s="73" t="s">
        <v>357</v>
      </c>
      <c r="D44" s="72" t="s">
        <v>390</v>
      </c>
      <c r="E44" s="94">
        <v>56.3</v>
      </c>
      <c r="F44" s="69">
        <v>59.3</v>
      </c>
      <c r="G44" s="87">
        <v>62.4</v>
      </c>
    </row>
    <row r="45" spans="1:10" s="10" customFormat="1" ht="83.25" customHeight="1" x14ac:dyDescent="0.25">
      <c r="A45" s="88" t="s">
        <v>362</v>
      </c>
      <c r="B45" s="70" t="s">
        <v>830</v>
      </c>
      <c r="C45" s="73" t="s">
        <v>357</v>
      </c>
      <c r="D45" s="72" t="s">
        <v>834</v>
      </c>
      <c r="E45" s="94">
        <f>20+J45</f>
        <v>40</v>
      </c>
      <c r="F45" s="69">
        <v>0</v>
      </c>
      <c r="G45" s="87">
        <v>0</v>
      </c>
      <c r="H45" s="286" t="s">
        <v>832</v>
      </c>
      <c r="J45" s="234">
        <v>20</v>
      </c>
    </row>
    <row r="46" spans="1:10" s="10" customFormat="1" ht="75" x14ac:dyDescent="0.25">
      <c r="A46" s="88" t="s">
        <v>364</v>
      </c>
      <c r="B46" s="70" t="s">
        <v>363</v>
      </c>
      <c r="C46" s="73" t="s">
        <v>357</v>
      </c>
      <c r="D46" s="72" t="s">
        <v>390</v>
      </c>
      <c r="E46" s="69">
        <v>248.9</v>
      </c>
      <c r="F46" s="69">
        <v>262.3</v>
      </c>
      <c r="G46" s="87">
        <v>276.2</v>
      </c>
    </row>
    <row r="47" spans="1:10" ht="75" x14ac:dyDescent="0.25">
      <c r="A47" s="88" t="s">
        <v>366</v>
      </c>
      <c r="B47" s="70" t="s">
        <v>365</v>
      </c>
      <c r="C47" s="73" t="s">
        <v>357</v>
      </c>
      <c r="D47" s="72" t="s">
        <v>390</v>
      </c>
      <c r="E47" s="69">
        <v>40.799999999999997</v>
      </c>
      <c r="F47" s="69">
        <v>43</v>
      </c>
      <c r="G47" s="87">
        <v>45.3</v>
      </c>
    </row>
    <row r="48" spans="1:10" ht="75" x14ac:dyDescent="0.25">
      <c r="A48" s="88" t="s">
        <v>831</v>
      </c>
      <c r="B48" s="70" t="s">
        <v>365</v>
      </c>
      <c r="C48" s="73" t="s">
        <v>367</v>
      </c>
      <c r="D48" s="72" t="s">
        <v>391</v>
      </c>
      <c r="E48" s="94">
        <v>55</v>
      </c>
      <c r="F48" s="69">
        <v>58</v>
      </c>
      <c r="G48" s="87">
        <v>61.1</v>
      </c>
    </row>
    <row r="49" spans="1:7" ht="21" customHeight="1" x14ac:dyDescent="0.25">
      <c r="A49" s="141" t="s">
        <v>14</v>
      </c>
      <c r="B49" s="142" t="s">
        <v>320</v>
      </c>
      <c r="C49" s="152" t="s">
        <v>368</v>
      </c>
      <c r="D49" s="140" t="s">
        <v>369</v>
      </c>
      <c r="E49" s="68">
        <f t="shared" ref="E49:G50" si="14">E50</f>
        <v>8974.5</v>
      </c>
      <c r="F49" s="68">
        <f t="shared" si="14"/>
        <v>9339.5</v>
      </c>
      <c r="G49" s="86">
        <f t="shared" si="14"/>
        <v>9865.5999999999985</v>
      </c>
    </row>
    <row r="50" spans="1:7" ht="37.5" x14ac:dyDescent="0.25">
      <c r="A50" s="141" t="s">
        <v>12</v>
      </c>
      <c r="B50" s="142" t="s">
        <v>320</v>
      </c>
      <c r="C50" s="152" t="s">
        <v>370</v>
      </c>
      <c r="D50" s="140" t="s">
        <v>371</v>
      </c>
      <c r="E50" s="68">
        <f>E51</f>
        <v>8974.5</v>
      </c>
      <c r="F50" s="68">
        <f t="shared" si="14"/>
        <v>9339.5</v>
      </c>
      <c r="G50" s="86">
        <f t="shared" si="14"/>
        <v>9865.5999999999985</v>
      </c>
    </row>
    <row r="51" spans="1:7" ht="18.75" x14ac:dyDescent="0.25">
      <c r="A51" s="141" t="s">
        <v>15</v>
      </c>
      <c r="B51" s="142" t="s">
        <v>320</v>
      </c>
      <c r="C51" s="152" t="s">
        <v>373</v>
      </c>
      <c r="D51" s="140" t="s">
        <v>374</v>
      </c>
      <c r="E51" s="68">
        <f>E52+E56</f>
        <v>8974.5</v>
      </c>
      <c r="F51" s="68">
        <f t="shared" ref="F51:G51" si="15">F52+F56</f>
        <v>9339.5</v>
      </c>
      <c r="G51" s="86">
        <f t="shared" si="15"/>
        <v>9865.5999999999985</v>
      </c>
    </row>
    <row r="52" spans="1:7" ht="37.5" x14ac:dyDescent="0.25">
      <c r="A52" s="141" t="s">
        <v>13</v>
      </c>
      <c r="B52" s="142" t="s">
        <v>320</v>
      </c>
      <c r="C52" s="152" t="s">
        <v>375</v>
      </c>
      <c r="D52" s="140" t="s">
        <v>376</v>
      </c>
      <c r="E52" s="68">
        <f>E53</f>
        <v>2405</v>
      </c>
      <c r="F52" s="68">
        <f t="shared" ref="F52:G52" si="16">F53</f>
        <v>2415.6000000000004</v>
      </c>
      <c r="G52" s="86">
        <f t="shared" si="16"/>
        <v>2494.3999999999996</v>
      </c>
    </row>
    <row r="53" spans="1:7" ht="56.25" x14ac:dyDescent="0.25">
      <c r="A53" s="141" t="s">
        <v>372</v>
      </c>
      <c r="B53" s="142" t="s">
        <v>10</v>
      </c>
      <c r="C53" s="152" t="s">
        <v>823</v>
      </c>
      <c r="D53" s="154" t="s">
        <v>377</v>
      </c>
      <c r="E53" s="68">
        <f>E54+E55</f>
        <v>2405</v>
      </c>
      <c r="F53" s="68">
        <f t="shared" ref="F53:G53" si="17">F54+F55</f>
        <v>2415.6000000000004</v>
      </c>
      <c r="G53" s="86">
        <f t="shared" si="17"/>
        <v>2494.3999999999996</v>
      </c>
    </row>
    <row r="54" spans="1:7" ht="75" x14ac:dyDescent="0.25">
      <c r="A54" s="88" t="s">
        <v>400</v>
      </c>
      <c r="B54" s="70" t="s">
        <v>10</v>
      </c>
      <c r="C54" s="73" t="s">
        <v>378</v>
      </c>
      <c r="D54" s="155" t="s">
        <v>379</v>
      </c>
      <c r="E54" s="69">
        <v>2398.1</v>
      </c>
      <c r="F54" s="69">
        <v>2408.3000000000002</v>
      </c>
      <c r="G54" s="93">
        <v>2486.6999999999998</v>
      </c>
    </row>
    <row r="55" spans="1:7" ht="104.25" customHeight="1" x14ac:dyDescent="0.25">
      <c r="A55" s="88" t="s">
        <v>401</v>
      </c>
      <c r="B55" s="70" t="s">
        <v>10</v>
      </c>
      <c r="C55" s="73" t="s">
        <v>380</v>
      </c>
      <c r="D55" s="90" t="s">
        <v>824</v>
      </c>
      <c r="E55" s="69">
        <v>6.9</v>
      </c>
      <c r="F55" s="69">
        <v>7.3</v>
      </c>
      <c r="G55" s="89">
        <v>7.7</v>
      </c>
    </row>
    <row r="56" spans="1:7" ht="56.25" x14ac:dyDescent="0.25">
      <c r="A56" s="141" t="s">
        <v>402</v>
      </c>
      <c r="B56" s="142" t="s">
        <v>320</v>
      </c>
      <c r="C56" s="152" t="s">
        <v>381</v>
      </c>
      <c r="D56" s="140" t="s">
        <v>382</v>
      </c>
      <c r="E56" s="68">
        <f>E57</f>
        <v>6569.5</v>
      </c>
      <c r="F56" s="68">
        <f t="shared" ref="F56:G56" si="18">F57</f>
        <v>6923.9</v>
      </c>
      <c r="G56" s="86">
        <f t="shared" si="18"/>
        <v>7371.2</v>
      </c>
    </row>
    <row r="57" spans="1:7" ht="69.75" customHeight="1" x14ac:dyDescent="0.25">
      <c r="A57" s="141" t="s">
        <v>403</v>
      </c>
      <c r="B57" s="142" t="s">
        <v>10</v>
      </c>
      <c r="C57" s="152" t="s">
        <v>383</v>
      </c>
      <c r="D57" s="140" t="s">
        <v>384</v>
      </c>
      <c r="E57" s="68">
        <f>E58+E59</f>
        <v>6569.5</v>
      </c>
      <c r="F57" s="68">
        <f t="shared" ref="F57:G57" si="19">F58+F59</f>
        <v>6923.9</v>
      </c>
      <c r="G57" s="86">
        <f t="shared" si="19"/>
        <v>7371.2</v>
      </c>
    </row>
    <row r="58" spans="1:7" ht="45.75" customHeight="1" x14ac:dyDescent="0.25">
      <c r="A58" s="88" t="s">
        <v>404</v>
      </c>
      <c r="B58" s="70" t="s">
        <v>10</v>
      </c>
      <c r="C58" s="73" t="s">
        <v>385</v>
      </c>
      <c r="D58" s="72" t="s">
        <v>386</v>
      </c>
      <c r="E58" s="69">
        <v>4276.1000000000004</v>
      </c>
      <c r="F58" s="144">
        <v>4506.8</v>
      </c>
      <c r="G58" s="93">
        <v>4745.8999999999996</v>
      </c>
    </row>
    <row r="59" spans="1:7" ht="46.5" customHeight="1" x14ac:dyDescent="0.25">
      <c r="A59" s="88" t="s">
        <v>405</v>
      </c>
      <c r="B59" s="70" t="s">
        <v>10</v>
      </c>
      <c r="C59" s="73" t="s">
        <v>387</v>
      </c>
      <c r="D59" s="156" t="s">
        <v>388</v>
      </c>
      <c r="E59" s="69">
        <v>2293.4</v>
      </c>
      <c r="F59" s="144">
        <v>2417.1</v>
      </c>
      <c r="G59" s="93">
        <v>2625.3</v>
      </c>
    </row>
    <row r="60" spans="1:7" ht="27.75" customHeight="1" thickBot="1" x14ac:dyDescent="0.3">
      <c r="A60" s="157"/>
      <c r="B60" s="158"/>
      <c r="C60" s="158"/>
      <c r="D60" s="159" t="s">
        <v>389</v>
      </c>
      <c r="E60" s="146">
        <f>SUM(E14+E49)</f>
        <v>70495.399999999994</v>
      </c>
      <c r="F60" s="146">
        <f>SUM(F14+F49)</f>
        <v>74241.200000000012</v>
      </c>
      <c r="G60" s="160">
        <f>SUM(G14+G49)</f>
        <v>80153.799999999988</v>
      </c>
    </row>
    <row r="61" spans="1:7" ht="15.75" x14ac:dyDescent="0.25">
      <c r="A61" s="1"/>
      <c r="B61" s="1"/>
      <c r="C61" s="1"/>
      <c r="D61" s="74"/>
      <c r="E61" s="75"/>
      <c r="F61" s="79"/>
      <c r="G61" s="59"/>
    </row>
    <row r="62" spans="1:7" x14ac:dyDescent="0.25">
      <c r="F62" s="59"/>
      <c r="G62" s="59"/>
    </row>
    <row r="73" spans="4:4" x14ac:dyDescent="0.25">
      <c r="D73" t="s">
        <v>827</v>
      </c>
    </row>
  </sheetData>
  <autoFilter ref="A13:H60"/>
  <mergeCells count="12">
    <mergeCell ref="F11:G11"/>
    <mergeCell ref="F2:G2"/>
    <mergeCell ref="E3:G3"/>
    <mergeCell ref="E4:G4"/>
    <mergeCell ref="E5:G5"/>
    <mergeCell ref="A9:G9"/>
    <mergeCell ref="C10:D10"/>
    <mergeCell ref="A11:A12"/>
    <mergeCell ref="B11:B12"/>
    <mergeCell ref="C11:C12"/>
    <mergeCell ref="D11:D12"/>
    <mergeCell ref="E11:E12"/>
  </mergeCells>
  <printOptions horizontalCentered="1"/>
  <pageMargins left="0.51181102362204722" right="0.11811023622047245" top="0.35433070866141736" bottom="0.55118110236220474" header="0.31496062992125984" footer="0.31496062992125984"/>
  <pageSetup paperSize="9" scale="39" fitToHeight="2" orientation="portrait" r:id="rId1"/>
  <rowBreaks count="1" manualBreakCount="1">
    <brk id="48" max="6" man="1"/>
  </rowBreaks>
  <colBreaks count="1" manualBreakCount="1">
    <brk id="7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R151"/>
  <sheetViews>
    <sheetView view="pageBreakPreview" zoomScale="70" zoomScaleNormal="100" zoomScaleSheetLayoutView="70" workbookViewId="0">
      <selection activeCell="A7" sqref="A7"/>
    </sheetView>
  </sheetViews>
  <sheetFormatPr defaultRowHeight="15.75" x14ac:dyDescent="0.25"/>
  <cols>
    <col min="1" max="1" width="19.5703125" style="326" customWidth="1"/>
    <col min="2" max="2" width="67.5703125" style="324" customWidth="1"/>
    <col min="3" max="3" width="10" style="116" customWidth="1"/>
    <col min="4" max="4" width="14.7109375" style="116" customWidth="1"/>
    <col min="5" max="5" width="19.140625" style="116" customWidth="1"/>
    <col min="6" max="6" width="15.140625" style="116" customWidth="1"/>
    <col min="7" max="7" width="16" style="102" customWidth="1"/>
    <col min="8" max="8" width="13.28515625" style="116" customWidth="1"/>
    <col min="9" max="9" width="19.85546875" style="117" customWidth="1"/>
    <col min="10" max="10" width="17.42578125" style="161" customWidth="1"/>
    <col min="11" max="11" width="20.28515625" customWidth="1"/>
  </cols>
  <sheetData>
    <row r="1" spans="1:14" ht="23.25" x14ac:dyDescent="0.35">
      <c r="A1" s="344"/>
      <c r="B1" s="173"/>
      <c r="C1" s="9"/>
      <c r="D1" s="173"/>
      <c r="E1" s="174"/>
      <c r="F1" s="6"/>
      <c r="G1" s="320"/>
      <c r="H1" s="321"/>
      <c r="I1" s="319" t="s">
        <v>18</v>
      </c>
    </row>
    <row r="2" spans="1:14" ht="23.25" x14ac:dyDescent="0.35">
      <c r="A2" s="345"/>
      <c r="B2" s="173"/>
      <c r="C2" s="9"/>
      <c r="D2" s="9"/>
      <c r="E2" s="174"/>
      <c r="F2" s="415"/>
      <c r="G2" s="320"/>
      <c r="H2" s="321"/>
      <c r="I2" s="416" t="s">
        <v>19</v>
      </c>
    </row>
    <row r="3" spans="1:14" ht="23.25" x14ac:dyDescent="0.35">
      <c r="A3" s="345"/>
      <c r="B3" s="175"/>
      <c r="C3" s="6"/>
      <c r="D3" s="6"/>
      <c r="E3" s="6"/>
      <c r="F3" s="415"/>
      <c r="G3" s="320"/>
      <c r="H3" s="321"/>
      <c r="I3" s="416" t="s">
        <v>16</v>
      </c>
    </row>
    <row r="4" spans="1:14" ht="23.25" x14ac:dyDescent="0.35">
      <c r="A4" s="345"/>
      <c r="B4" s="7"/>
      <c r="C4" s="8"/>
      <c r="D4" s="9"/>
      <c r="E4" s="106"/>
      <c r="F4" s="415"/>
      <c r="G4" s="414" t="s">
        <v>889</v>
      </c>
      <c r="H4" s="414"/>
      <c r="I4" s="414"/>
    </row>
    <row r="5" spans="1:14" ht="18.75" x14ac:dyDescent="0.3">
      <c r="A5" s="346"/>
      <c r="B5" s="7"/>
      <c r="C5" s="176"/>
      <c r="D5" s="177"/>
      <c r="E5" s="178"/>
      <c r="F5" s="98"/>
      <c r="G5" s="98"/>
    </row>
    <row r="6" spans="1:14" ht="35.450000000000003" customHeight="1" x14ac:dyDescent="0.25">
      <c r="A6" s="417" t="s">
        <v>891</v>
      </c>
      <c r="B6" s="417"/>
      <c r="C6" s="417"/>
      <c r="D6" s="417"/>
      <c r="E6" s="417"/>
      <c r="F6" s="417"/>
      <c r="G6" s="417"/>
      <c r="H6" s="417"/>
      <c r="I6" s="417"/>
      <c r="L6" s="76"/>
      <c r="M6" s="76"/>
      <c r="N6" s="76"/>
    </row>
    <row r="7" spans="1:14" ht="19.5" customHeight="1" x14ac:dyDescent="0.3">
      <c r="A7" s="304"/>
      <c r="B7" s="185"/>
      <c r="C7" s="118"/>
      <c r="D7" s="118"/>
      <c r="E7" s="118"/>
      <c r="F7" s="118"/>
      <c r="G7" s="285"/>
      <c r="H7" s="119"/>
      <c r="I7" s="80" t="s">
        <v>399</v>
      </c>
    </row>
    <row r="8" spans="1:14" ht="28.5" customHeight="1" x14ac:dyDescent="0.25">
      <c r="A8" s="399" t="s">
        <v>20</v>
      </c>
      <c r="B8" s="399" t="s">
        <v>21</v>
      </c>
      <c r="C8" s="399" t="s">
        <v>22</v>
      </c>
      <c r="D8" s="399" t="s">
        <v>406</v>
      </c>
      <c r="E8" s="399" t="s">
        <v>23</v>
      </c>
      <c r="F8" s="399" t="s">
        <v>24</v>
      </c>
      <c r="G8" s="401" t="s">
        <v>395</v>
      </c>
      <c r="H8" s="398" t="s">
        <v>396</v>
      </c>
      <c r="I8" s="398"/>
    </row>
    <row r="9" spans="1:14" ht="15.75" customHeight="1" x14ac:dyDescent="0.25">
      <c r="A9" s="400"/>
      <c r="B9" s="400"/>
      <c r="C9" s="400"/>
      <c r="D9" s="400"/>
      <c r="E9" s="400"/>
      <c r="F9" s="400"/>
      <c r="G9" s="402"/>
      <c r="H9" s="105" t="s">
        <v>397</v>
      </c>
      <c r="I9" s="105" t="s">
        <v>398</v>
      </c>
    </row>
    <row r="10" spans="1:14" x14ac:dyDescent="0.25">
      <c r="A10" s="325">
        <v>1</v>
      </c>
      <c r="B10" s="99">
        <v>2</v>
      </c>
      <c r="C10" s="99" t="s">
        <v>25</v>
      </c>
      <c r="D10" s="99" t="s">
        <v>26</v>
      </c>
      <c r="E10" s="99" t="s">
        <v>27</v>
      </c>
      <c r="F10" s="99" t="s">
        <v>28</v>
      </c>
      <c r="G10" s="100">
        <v>7</v>
      </c>
      <c r="H10" s="104">
        <v>8</v>
      </c>
      <c r="I10" s="104">
        <v>9</v>
      </c>
    </row>
    <row r="11" spans="1:14" hidden="1" x14ac:dyDescent="0.25">
      <c r="A11" s="325"/>
      <c r="B11" s="166"/>
      <c r="C11" s="166"/>
      <c r="D11" s="99"/>
      <c r="E11" s="99"/>
      <c r="F11" s="99"/>
      <c r="G11" s="100"/>
      <c r="H11" s="104"/>
      <c r="I11" s="104"/>
    </row>
    <row r="12" spans="1:14" ht="79.5" customHeight="1" x14ac:dyDescent="0.3">
      <c r="A12" s="347" t="s">
        <v>29</v>
      </c>
      <c r="B12" s="11" t="s">
        <v>254</v>
      </c>
      <c r="C12" s="12">
        <v>903</v>
      </c>
      <c r="D12" s="13"/>
      <c r="E12" s="13"/>
      <c r="F12" s="13"/>
      <c r="G12" s="14">
        <f>G13+G40+G44+G50+G70+G74+G91+G100+G109</f>
        <v>64247.100000000006</v>
      </c>
      <c r="H12" s="14">
        <f>H13+H40+H44+H50+H70+H74+H91+H100+H109</f>
        <v>60711.299999999996</v>
      </c>
      <c r="I12" s="14">
        <f>I13+I40+I44+I50+I70+I74+I91+I100+I109</f>
        <v>68640.2</v>
      </c>
      <c r="J12" s="161" t="s">
        <v>851</v>
      </c>
    </row>
    <row r="13" spans="1:14" ht="20.25" x14ac:dyDescent="0.3">
      <c r="A13" s="348" t="s">
        <v>30</v>
      </c>
      <c r="B13" s="16" t="s">
        <v>31</v>
      </c>
      <c r="C13" s="15" t="s">
        <v>10</v>
      </c>
      <c r="D13" s="15" t="s">
        <v>32</v>
      </c>
      <c r="E13" s="15"/>
      <c r="F13" s="15"/>
      <c r="G13" s="17">
        <f>G14+G26+G29</f>
        <v>27973.700000000004</v>
      </c>
      <c r="H13" s="17">
        <f t="shared" ref="H13:I13" si="0">H14+H26+H29</f>
        <v>26682.9</v>
      </c>
      <c r="I13" s="17">
        <f t="shared" si="0"/>
        <v>27538.100000000002</v>
      </c>
      <c r="J13" s="161" t="s">
        <v>851</v>
      </c>
    </row>
    <row r="14" spans="1:14" ht="54" customHeight="1" x14ac:dyDescent="0.3">
      <c r="A14" s="71" t="s">
        <v>33</v>
      </c>
      <c r="B14" s="2" t="s">
        <v>34</v>
      </c>
      <c r="C14" s="18" t="s">
        <v>10</v>
      </c>
      <c r="D14" s="18" t="s">
        <v>35</v>
      </c>
      <c r="E14" s="18"/>
      <c r="F14" s="18"/>
      <c r="G14" s="19">
        <f>G15+G17+G21+G23</f>
        <v>16715.400000000001</v>
      </c>
      <c r="H14" s="19">
        <f t="shared" ref="H14:I14" si="1">H15+H17+H21+H23</f>
        <v>16029.3</v>
      </c>
      <c r="I14" s="19">
        <f t="shared" si="1"/>
        <v>16546.400000000001</v>
      </c>
    </row>
    <row r="15" spans="1:14" ht="18.75" x14ac:dyDescent="0.3">
      <c r="A15" s="71" t="s">
        <v>36</v>
      </c>
      <c r="B15" s="20" t="s">
        <v>37</v>
      </c>
      <c r="C15" s="18" t="s">
        <v>10</v>
      </c>
      <c r="D15" s="18" t="s">
        <v>35</v>
      </c>
      <c r="E15" s="18" t="s">
        <v>38</v>
      </c>
      <c r="F15" s="18"/>
      <c r="G15" s="19">
        <f>G16</f>
        <v>1217</v>
      </c>
      <c r="H15" s="19">
        <f t="shared" ref="H15:I15" si="2">H16</f>
        <v>1091.8</v>
      </c>
      <c r="I15" s="19">
        <f t="shared" si="2"/>
        <v>1125.3</v>
      </c>
    </row>
    <row r="16" spans="1:14" ht="75.75" customHeight="1" x14ac:dyDescent="0.3">
      <c r="A16" s="71" t="s">
        <v>2</v>
      </c>
      <c r="B16" s="20" t="s">
        <v>39</v>
      </c>
      <c r="C16" s="18" t="s">
        <v>10</v>
      </c>
      <c r="D16" s="18" t="s">
        <v>35</v>
      </c>
      <c r="E16" s="18" t="s">
        <v>38</v>
      </c>
      <c r="F16" s="21" t="s">
        <v>40</v>
      </c>
      <c r="G16" s="22">
        <v>1217</v>
      </c>
      <c r="H16" s="172">
        <f>838.5+253.3</f>
        <v>1091.8</v>
      </c>
      <c r="I16" s="172">
        <f>838.5+286.8</f>
        <v>1125.3</v>
      </c>
    </row>
    <row r="17" spans="1:10" ht="72.75" customHeight="1" x14ac:dyDescent="0.3">
      <c r="A17" s="71" t="s">
        <v>3</v>
      </c>
      <c r="B17" s="23" t="s">
        <v>42</v>
      </c>
      <c r="C17" s="21" t="s">
        <v>10</v>
      </c>
      <c r="D17" s="18" t="s">
        <v>35</v>
      </c>
      <c r="E17" s="18" t="s">
        <v>43</v>
      </c>
      <c r="F17" s="18"/>
      <c r="G17" s="19">
        <f>G18+G19+G20</f>
        <v>13093.400000000001</v>
      </c>
      <c r="H17" s="19">
        <f t="shared" ref="H17:I17" si="3">H18+H19+H20</f>
        <v>12521.9</v>
      </c>
      <c r="I17" s="19">
        <f t="shared" si="3"/>
        <v>12926.7</v>
      </c>
    </row>
    <row r="18" spans="1:10" ht="74.25" customHeight="1" x14ac:dyDescent="0.3">
      <c r="A18" s="71" t="s">
        <v>4</v>
      </c>
      <c r="B18" s="20" t="s">
        <v>39</v>
      </c>
      <c r="C18" s="21" t="s">
        <v>10</v>
      </c>
      <c r="D18" s="21" t="s">
        <v>35</v>
      </c>
      <c r="E18" s="18" t="s">
        <v>43</v>
      </c>
      <c r="F18" s="18" t="s">
        <v>40</v>
      </c>
      <c r="G18" s="19">
        <f>10532.7+J18</f>
        <v>10533.7</v>
      </c>
      <c r="H18" s="101">
        <f>0.6+7594.2+2293.5</f>
        <v>9888.2999999999993</v>
      </c>
      <c r="I18" s="172">
        <f>0.6+7594.2+2597.2</f>
        <v>10192</v>
      </c>
      <c r="J18" s="233">
        <v>1</v>
      </c>
    </row>
    <row r="19" spans="1:10" ht="35.25" customHeight="1" x14ac:dyDescent="0.3">
      <c r="A19" s="71" t="s">
        <v>5</v>
      </c>
      <c r="B19" s="24" t="s">
        <v>46</v>
      </c>
      <c r="C19" s="21" t="s">
        <v>10</v>
      </c>
      <c r="D19" s="21" t="s">
        <v>35</v>
      </c>
      <c r="E19" s="18" t="s">
        <v>43</v>
      </c>
      <c r="F19" s="18" t="s">
        <v>47</v>
      </c>
      <c r="G19" s="19">
        <v>2525.9000000000005</v>
      </c>
      <c r="H19" s="101">
        <f>29.9+1248.5+27+106.9+78+22.3+158.1+202.6+54.4+684.7</f>
        <v>2612.4</v>
      </c>
      <c r="I19" s="101">
        <f>31.5+1314.7+27.4+112.6+82.1+23.5+166.5+213.4+44.3+697.5</f>
        <v>2713.5</v>
      </c>
      <c r="J19" s="163"/>
    </row>
    <row r="20" spans="1:10" ht="18.75" x14ac:dyDescent="0.3">
      <c r="A20" s="71" t="s">
        <v>314</v>
      </c>
      <c r="B20" s="25" t="s">
        <v>49</v>
      </c>
      <c r="C20" s="21" t="s">
        <v>10</v>
      </c>
      <c r="D20" s="18" t="s">
        <v>35</v>
      </c>
      <c r="E20" s="18" t="s">
        <v>43</v>
      </c>
      <c r="F20" s="18" t="s">
        <v>50</v>
      </c>
      <c r="G20" s="22">
        <f>16+4.9+0.3+J20</f>
        <v>33.799999999999997</v>
      </c>
      <c r="H20" s="22">
        <f>16+4.9+0.3</f>
        <v>21.2</v>
      </c>
      <c r="I20" s="22">
        <f>16+4.9+0.3</f>
        <v>21.2</v>
      </c>
      <c r="J20" s="169">
        <v>12.6</v>
      </c>
    </row>
    <row r="21" spans="1:10" ht="72" customHeight="1" x14ac:dyDescent="0.3">
      <c r="A21" s="71" t="s">
        <v>6</v>
      </c>
      <c r="B21" s="26" t="s">
        <v>51</v>
      </c>
      <c r="C21" s="21" t="s">
        <v>10</v>
      </c>
      <c r="D21" s="21" t="s">
        <v>35</v>
      </c>
      <c r="E21" s="21" t="s">
        <v>52</v>
      </c>
      <c r="F21" s="21"/>
      <c r="G21" s="22">
        <f>G22</f>
        <v>6.9</v>
      </c>
      <c r="H21" s="22">
        <f t="shared" ref="H21:I21" si="4">H22</f>
        <v>7.3</v>
      </c>
      <c r="I21" s="22">
        <f t="shared" si="4"/>
        <v>7.7</v>
      </c>
    </row>
    <row r="22" spans="1:10" ht="37.5" x14ac:dyDescent="0.3">
      <c r="A22" s="71" t="s">
        <v>7</v>
      </c>
      <c r="B22" s="24" t="s">
        <v>46</v>
      </c>
      <c r="C22" s="21" t="s">
        <v>10</v>
      </c>
      <c r="D22" s="21" t="s">
        <v>35</v>
      </c>
      <c r="E22" s="21" t="s">
        <v>52</v>
      </c>
      <c r="F22" s="21" t="s">
        <v>47</v>
      </c>
      <c r="G22" s="22">
        <v>6.9</v>
      </c>
      <c r="H22" s="108">
        <v>7.3</v>
      </c>
      <c r="I22" s="108">
        <v>7.7</v>
      </c>
    </row>
    <row r="23" spans="1:10" ht="73.5" customHeight="1" x14ac:dyDescent="0.3">
      <c r="A23" s="71" t="s">
        <v>53</v>
      </c>
      <c r="B23" s="27" t="s">
        <v>54</v>
      </c>
      <c r="C23" s="28" t="s">
        <v>10</v>
      </c>
      <c r="D23" s="21" t="s">
        <v>35</v>
      </c>
      <c r="E23" s="21" t="s">
        <v>55</v>
      </c>
      <c r="F23" s="21"/>
      <c r="G23" s="22">
        <f>G24+G25</f>
        <v>2398.1</v>
      </c>
      <c r="H23" s="22">
        <f t="shared" ref="H23:I23" si="5">H24+H25</f>
        <v>2408.3000000000002</v>
      </c>
      <c r="I23" s="22">
        <f t="shared" si="5"/>
        <v>2486.6999999999998</v>
      </c>
    </row>
    <row r="24" spans="1:10" ht="75" customHeight="1" x14ac:dyDescent="0.3">
      <c r="A24" s="71" t="s">
        <v>56</v>
      </c>
      <c r="B24" s="27" t="s">
        <v>39</v>
      </c>
      <c r="C24" s="28" t="s">
        <v>10</v>
      </c>
      <c r="D24" s="21" t="s">
        <v>35</v>
      </c>
      <c r="E24" s="21" t="s">
        <v>55</v>
      </c>
      <c r="F24" s="21" t="s">
        <v>40</v>
      </c>
      <c r="G24" s="22">
        <f>2398.1-G25</f>
        <v>2208.7999999999997</v>
      </c>
      <c r="H24" s="172">
        <f>2408.3-H25</f>
        <v>2208.8000000000002</v>
      </c>
      <c r="I24" s="172">
        <f>2486.7-I25</f>
        <v>2276.6999999999998</v>
      </c>
    </row>
    <row r="25" spans="1:10" ht="35.25" customHeight="1" x14ac:dyDescent="0.3">
      <c r="A25" s="71" t="s">
        <v>57</v>
      </c>
      <c r="B25" s="26" t="s">
        <v>46</v>
      </c>
      <c r="C25" s="28" t="s">
        <v>10</v>
      </c>
      <c r="D25" s="21" t="s">
        <v>35</v>
      </c>
      <c r="E25" s="21" t="s">
        <v>55</v>
      </c>
      <c r="F25" s="21" t="s">
        <v>47</v>
      </c>
      <c r="G25" s="22">
        <v>189.3</v>
      </c>
      <c r="H25" s="110">
        <v>199.5</v>
      </c>
      <c r="I25" s="110">
        <v>210</v>
      </c>
    </row>
    <row r="26" spans="1:10" s="3" customFormat="1" ht="18.75" x14ac:dyDescent="0.3">
      <c r="A26" s="139" t="s">
        <v>41</v>
      </c>
      <c r="B26" s="30" t="s">
        <v>58</v>
      </c>
      <c r="C26" s="31" t="s">
        <v>10</v>
      </c>
      <c r="D26" s="31" t="s">
        <v>59</v>
      </c>
      <c r="E26" s="31"/>
      <c r="F26" s="31"/>
      <c r="G26" s="32">
        <f>G27</f>
        <v>65</v>
      </c>
      <c r="H26" s="32">
        <f t="shared" ref="H26:I27" si="6">H27</f>
        <v>65</v>
      </c>
      <c r="I26" s="32">
        <f t="shared" si="6"/>
        <v>65</v>
      </c>
      <c r="J26" s="162"/>
    </row>
    <row r="27" spans="1:10" ht="18.75" x14ac:dyDescent="0.3">
      <c r="A27" s="71" t="s">
        <v>44</v>
      </c>
      <c r="B27" s="27" t="s">
        <v>60</v>
      </c>
      <c r="C27" s="28" t="s">
        <v>10</v>
      </c>
      <c r="D27" s="21" t="s">
        <v>59</v>
      </c>
      <c r="E27" s="21" t="s">
        <v>61</v>
      </c>
      <c r="F27" s="21"/>
      <c r="G27" s="22">
        <f>G28</f>
        <v>65</v>
      </c>
      <c r="H27" s="22">
        <f t="shared" si="6"/>
        <v>65</v>
      </c>
      <c r="I27" s="22">
        <f t="shared" si="6"/>
        <v>65</v>
      </c>
    </row>
    <row r="28" spans="1:10" ht="18.75" x14ac:dyDescent="0.3">
      <c r="A28" s="71" t="s">
        <v>62</v>
      </c>
      <c r="B28" s="27" t="s">
        <v>49</v>
      </c>
      <c r="C28" s="28" t="s">
        <v>10</v>
      </c>
      <c r="D28" s="21" t="s">
        <v>59</v>
      </c>
      <c r="E28" s="21" t="s">
        <v>61</v>
      </c>
      <c r="F28" s="21" t="s">
        <v>50</v>
      </c>
      <c r="G28" s="22">
        <v>65</v>
      </c>
      <c r="H28" s="172">
        <v>65</v>
      </c>
      <c r="I28" s="172">
        <v>65</v>
      </c>
    </row>
    <row r="29" spans="1:10" ht="40.5" x14ac:dyDescent="0.3">
      <c r="A29" s="349" t="s">
        <v>8</v>
      </c>
      <c r="B29" s="33" t="s">
        <v>63</v>
      </c>
      <c r="C29" s="34" t="s">
        <v>10</v>
      </c>
      <c r="D29" s="13" t="s">
        <v>64</v>
      </c>
      <c r="E29" s="13"/>
      <c r="F29" s="13"/>
      <c r="G29" s="14">
        <f>G30+G34+G32+G38</f>
        <v>11193.300000000003</v>
      </c>
      <c r="H29" s="14">
        <f t="shared" ref="H29:I29" si="7">H30+H34+H32+H38</f>
        <v>10588.6</v>
      </c>
      <c r="I29" s="14">
        <f t="shared" si="7"/>
        <v>10926.7</v>
      </c>
    </row>
    <row r="30" spans="1:10" ht="20.25" customHeight="1" x14ac:dyDescent="0.3">
      <c r="A30" s="71" t="s">
        <v>65</v>
      </c>
      <c r="B30" s="35" t="s">
        <v>66</v>
      </c>
      <c r="C30" s="36" t="s">
        <v>10</v>
      </c>
      <c r="D30" s="18" t="s">
        <v>64</v>
      </c>
      <c r="E30" s="21" t="s">
        <v>67</v>
      </c>
      <c r="F30" s="18"/>
      <c r="G30" s="37">
        <f>G31</f>
        <v>396</v>
      </c>
      <c r="H30" s="37" t="str">
        <f t="shared" ref="H30:I30" si="8">H31</f>
        <v>417,4</v>
      </c>
      <c r="I30" s="37">
        <f t="shared" si="8"/>
        <v>440</v>
      </c>
    </row>
    <row r="31" spans="1:10" ht="37.5" x14ac:dyDescent="0.3">
      <c r="A31" s="237" t="s">
        <v>68</v>
      </c>
      <c r="B31" s="26" t="s">
        <v>46</v>
      </c>
      <c r="C31" s="28" t="s">
        <v>10</v>
      </c>
      <c r="D31" s="21" t="s">
        <v>64</v>
      </c>
      <c r="E31" s="21" t="s">
        <v>67</v>
      </c>
      <c r="F31" s="21" t="s">
        <v>47</v>
      </c>
      <c r="G31" s="22">
        <v>396</v>
      </c>
      <c r="H31" s="18" t="s">
        <v>410</v>
      </c>
      <c r="I31" s="110">
        <v>440</v>
      </c>
    </row>
    <row r="32" spans="1:10" ht="18.75" x14ac:dyDescent="0.3">
      <c r="A32" s="237" t="s">
        <v>69</v>
      </c>
      <c r="B32" s="26" t="s">
        <v>275</v>
      </c>
      <c r="C32" s="28" t="s">
        <v>10</v>
      </c>
      <c r="D32" s="21" t="s">
        <v>64</v>
      </c>
      <c r="E32" s="21" t="s">
        <v>276</v>
      </c>
      <c r="F32" s="21"/>
      <c r="G32" s="22">
        <f>G33</f>
        <v>99.199999999999989</v>
      </c>
      <c r="H32" s="22">
        <f t="shared" ref="H32:I32" si="9">H33</f>
        <v>104.69999999999999</v>
      </c>
      <c r="I32" s="22">
        <f t="shared" si="9"/>
        <v>110.19999999999999</v>
      </c>
    </row>
    <row r="33" spans="1:10" s="10" customFormat="1" ht="37.5" x14ac:dyDescent="0.3">
      <c r="A33" s="237" t="s">
        <v>72</v>
      </c>
      <c r="B33" s="26" t="s">
        <v>46</v>
      </c>
      <c r="C33" s="28" t="s">
        <v>10</v>
      </c>
      <c r="D33" s="21" t="s">
        <v>64</v>
      </c>
      <c r="E33" s="21" t="s">
        <v>276</v>
      </c>
      <c r="F33" s="21" t="s">
        <v>47</v>
      </c>
      <c r="G33" s="22">
        <f>31.6+67.6</f>
        <v>99.199999999999989</v>
      </c>
      <c r="H33" s="107">
        <f>33.4+71.3</f>
        <v>104.69999999999999</v>
      </c>
      <c r="I33" s="108">
        <f>35.1+75.1</f>
        <v>110.19999999999999</v>
      </c>
      <c r="J33" s="163"/>
    </row>
    <row r="34" spans="1:10" ht="93" customHeight="1" x14ac:dyDescent="0.3">
      <c r="A34" s="237" t="s">
        <v>73</v>
      </c>
      <c r="B34" s="297" t="s">
        <v>70</v>
      </c>
      <c r="C34" s="28" t="s">
        <v>10</v>
      </c>
      <c r="D34" s="21" t="s">
        <v>64</v>
      </c>
      <c r="E34" s="21" t="s">
        <v>71</v>
      </c>
      <c r="F34" s="21"/>
      <c r="G34" s="22">
        <f>G35+G36+G37</f>
        <v>10678.100000000002</v>
      </c>
      <c r="H34" s="22">
        <f>H35+H36+H37</f>
        <v>10045.5</v>
      </c>
      <c r="I34" s="22">
        <f t="shared" ref="I34" si="10">I35+I36+I37</f>
        <v>10354.4</v>
      </c>
    </row>
    <row r="35" spans="1:10" ht="73.5" customHeight="1" x14ac:dyDescent="0.3">
      <c r="A35" s="237" t="s">
        <v>74</v>
      </c>
      <c r="B35" s="38" t="s">
        <v>39</v>
      </c>
      <c r="C35" s="28" t="s">
        <v>10</v>
      </c>
      <c r="D35" s="21" t="s">
        <v>64</v>
      </c>
      <c r="E35" s="39" t="s">
        <v>71</v>
      </c>
      <c r="F35" s="21" t="s">
        <v>40</v>
      </c>
      <c r="G35" s="22">
        <f>7619.5+2301.1+485.6+146.7</f>
        <v>10552.900000000001</v>
      </c>
      <c r="H35" s="172">
        <f>7619.5+2301.1</f>
        <v>9920.6</v>
      </c>
      <c r="I35" s="172">
        <f>7619.5+2605.9</f>
        <v>10225.4</v>
      </c>
    </row>
    <row r="36" spans="1:10" ht="35.25" customHeight="1" x14ac:dyDescent="0.3">
      <c r="A36" s="237" t="s">
        <v>277</v>
      </c>
      <c r="B36" s="26" t="s">
        <v>46</v>
      </c>
      <c r="C36" s="28" t="s">
        <v>10</v>
      </c>
      <c r="D36" s="21" t="s">
        <v>64</v>
      </c>
      <c r="E36" s="21" t="s">
        <v>71</v>
      </c>
      <c r="F36" s="21" t="s">
        <v>47</v>
      </c>
      <c r="G36" s="22">
        <f>6.9+50.7+2.8+14.5+48+2.2</f>
        <v>125.10000000000001</v>
      </c>
      <c r="H36" s="107">
        <f>7.3+53.5+2.9+13.1+48</f>
        <v>124.8</v>
      </c>
      <c r="I36" s="109">
        <f>7.7+56.3+3.1+13.8+48</f>
        <v>128.89999999999998</v>
      </c>
    </row>
    <row r="37" spans="1:10" ht="21.75" customHeight="1" x14ac:dyDescent="0.3">
      <c r="A37" s="237" t="s">
        <v>278</v>
      </c>
      <c r="B37" s="25" t="s">
        <v>49</v>
      </c>
      <c r="C37" s="28" t="s">
        <v>10</v>
      </c>
      <c r="D37" s="21" t="s">
        <v>64</v>
      </c>
      <c r="E37" s="21" t="s">
        <v>71</v>
      </c>
      <c r="F37" s="21" t="s">
        <v>50</v>
      </c>
      <c r="G37" s="22">
        <v>0.1</v>
      </c>
      <c r="H37" s="108">
        <v>0.1</v>
      </c>
      <c r="I37" s="18" t="s">
        <v>409</v>
      </c>
    </row>
    <row r="38" spans="1:10" ht="55.5" customHeight="1" x14ac:dyDescent="0.3">
      <c r="A38" s="237" t="s">
        <v>75</v>
      </c>
      <c r="B38" s="329" t="s">
        <v>430</v>
      </c>
      <c r="C38" s="28" t="s">
        <v>10</v>
      </c>
      <c r="D38" s="21" t="s">
        <v>64</v>
      </c>
      <c r="E38" s="39" t="s">
        <v>431</v>
      </c>
      <c r="F38" s="21"/>
      <c r="G38" s="22">
        <f>G39</f>
        <v>20</v>
      </c>
      <c r="H38" s="22">
        <f t="shared" ref="H38:I38" si="11">H39</f>
        <v>21</v>
      </c>
      <c r="I38" s="22">
        <f t="shared" si="11"/>
        <v>22.1</v>
      </c>
    </row>
    <row r="39" spans="1:10" ht="38.25" customHeight="1" x14ac:dyDescent="0.3">
      <c r="A39" s="237" t="s">
        <v>78</v>
      </c>
      <c r="B39" s="26" t="s">
        <v>46</v>
      </c>
      <c r="C39" s="28" t="s">
        <v>10</v>
      </c>
      <c r="D39" s="21" t="s">
        <v>64</v>
      </c>
      <c r="E39" s="39" t="s">
        <v>431</v>
      </c>
      <c r="F39" s="21" t="s">
        <v>47</v>
      </c>
      <c r="G39" s="22">
        <v>20</v>
      </c>
      <c r="H39" s="112">
        <v>21</v>
      </c>
      <c r="I39" s="111">
        <v>22.1</v>
      </c>
    </row>
    <row r="40" spans="1:10" ht="40.5" customHeight="1" x14ac:dyDescent="0.3">
      <c r="A40" s="348" t="s">
        <v>14</v>
      </c>
      <c r="B40" s="40" t="s">
        <v>79</v>
      </c>
      <c r="C40" s="41" t="s">
        <v>10</v>
      </c>
      <c r="D40" s="15" t="s">
        <v>80</v>
      </c>
      <c r="E40" s="15"/>
      <c r="F40" s="15"/>
      <c r="G40" s="17">
        <f>G41</f>
        <v>120.1</v>
      </c>
      <c r="H40" s="17">
        <f t="shared" ref="H40:I42" si="12">H41</f>
        <v>87.8</v>
      </c>
      <c r="I40" s="17">
        <f t="shared" si="12"/>
        <v>96</v>
      </c>
    </row>
    <row r="41" spans="1:10" ht="56.25" x14ac:dyDescent="0.3">
      <c r="A41" s="237" t="s">
        <v>12</v>
      </c>
      <c r="B41" s="2" t="s">
        <v>81</v>
      </c>
      <c r="C41" s="28" t="s">
        <v>10</v>
      </c>
      <c r="D41" s="21" t="s">
        <v>82</v>
      </c>
      <c r="E41" s="21"/>
      <c r="F41" s="21"/>
      <c r="G41" s="22">
        <f>G42</f>
        <v>120.1</v>
      </c>
      <c r="H41" s="22">
        <f t="shared" si="12"/>
        <v>87.8</v>
      </c>
      <c r="I41" s="22">
        <f t="shared" si="12"/>
        <v>96</v>
      </c>
    </row>
    <row r="42" spans="1:10" ht="166.5" customHeight="1" x14ac:dyDescent="0.3">
      <c r="A42" s="237" t="s">
        <v>15</v>
      </c>
      <c r="B42" s="327" t="s">
        <v>83</v>
      </c>
      <c r="C42" s="28" t="s">
        <v>10</v>
      </c>
      <c r="D42" s="21" t="s">
        <v>82</v>
      </c>
      <c r="E42" s="21" t="s">
        <v>84</v>
      </c>
      <c r="F42" s="21"/>
      <c r="G42" s="22">
        <f>G43</f>
        <v>120.1</v>
      </c>
      <c r="H42" s="22">
        <f t="shared" si="12"/>
        <v>87.8</v>
      </c>
      <c r="I42" s="22">
        <f t="shared" si="12"/>
        <v>96</v>
      </c>
    </row>
    <row r="43" spans="1:10" ht="37.5" x14ac:dyDescent="0.3">
      <c r="A43" s="237" t="s">
        <v>13</v>
      </c>
      <c r="B43" s="26" t="s">
        <v>46</v>
      </c>
      <c r="C43" s="28" t="s">
        <v>10</v>
      </c>
      <c r="D43" s="21" t="s">
        <v>82</v>
      </c>
      <c r="E43" s="21" t="s">
        <v>84</v>
      </c>
      <c r="F43" s="21" t="s">
        <v>47</v>
      </c>
      <c r="G43" s="22">
        <v>120.1</v>
      </c>
      <c r="H43" s="108">
        <v>87.8</v>
      </c>
      <c r="I43" s="107">
        <v>96</v>
      </c>
    </row>
    <row r="44" spans="1:10" ht="20.25" x14ac:dyDescent="0.3">
      <c r="A44" s="348" t="s">
        <v>25</v>
      </c>
      <c r="B44" s="40" t="s">
        <v>85</v>
      </c>
      <c r="C44" s="41" t="s">
        <v>10</v>
      </c>
      <c r="D44" s="15" t="s">
        <v>86</v>
      </c>
      <c r="E44" s="15"/>
      <c r="F44" s="15"/>
      <c r="G44" s="17">
        <f>G45</f>
        <v>20</v>
      </c>
      <c r="H44" s="17">
        <f t="shared" ref="H44:I46" si="13">H45</f>
        <v>21.2</v>
      </c>
      <c r="I44" s="17">
        <f t="shared" si="13"/>
        <v>22.2</v>
      </c>
    </row>
    <row r="45" spans="1:10" ht="18.75" x14ac:dyDescent="0.3">
      <c r="A45" s="237" t="s">
        <v>449</v>
      </c>
      <c r="B45" s="322" t="s">
        <v>87</v>
      </c>
      <c r="C45" s="28" t="s">
        <v>10</v>
      </c>
      <c r="D45" s="21" t="s">
        <v>88</v>
      </c>
      <c r="E45" s="39"/>
      <c r="F45" s="21"/>
      <c r="G45" s="22">
        <f>G46+G48</f>
        <v>20</v>
      </c>
      <c r="H45" s="22">
        <f t="shared" ref="H45:I45" si="14">H46+H48</f>
        <v>21.2</v>
      </c>
      <c r="I45" s="22">
        <f t="shared" si="14"/>
        <v>22.2</v>
      </c>
    </row>
    <row r="46" spans="1:10" ht="73.5" customHeight="1" x14ac:dyDescent="0.3">
      <c r="A46" s="237" t="s">
        <v>310</v>
      </c>
      <c r="B46" s="328" t="s">
        <v>285</v>
      </c>
      <c r="C46" s="28" t="s">
        <v>10</v>
      </c>
      <c r="D46" s="21" t="s">
        <v>88</v>
      </c>
      <c r="E46" s="39" t="s">
        <v>89</v>
      </c>
      <c r="F46" s="21"/>
      <c r="G46" s="22">
        <f>G47</f>
        <v>10</v>
      </c>
      <c r="H46" s="22" t="str">
        <f t="shared" si="13"/>
        <v>10,6</v>
      </c>
      <c r="I46" s="22">
        <f t="shared" si="13"/>
        <v>11.1</v>
      </c>
    </row>
    <row r="47" spans="1:10" ht="37.5" x14ac:dyDescent="0.3">
      <c r="A47" s="237" t="s">
        <v>289</v>
      </c>
      <c r="B47" s="26" t="s">
        <v>46</v>
      </c>
      <c r="C47" s="28" t="s">
        <v>10</v>
      </c>
      <c r="D47" s="21" t="s">
        <v>88</v>
      </c>
      <c r="E47" s="39" t="s">
        <v>89</v>
      </c>
      <c r="F47" s="21" t="s">
        <v>47</v>
      </c>
      <c r="G47" s="22">
        <v>10</v>
      </c>
      <c r="H47" s="18" t="s">
        <v>416</v>
      </c>
      <c r="I47" s="108">
        <v>11.1</v>
      </c>
    </row>
    <row r="48" spans="1:10" ht="72.75" customHeight="1" x14ac:dyDescent="0.3">
      <c r="A48" s="237" t="s">
        <v>425</v>
      </c>
      <c r="B48" s="328" t="s">
        <v>427</v>
      </c>
      <c r="C48" s="28" t="s">
        <v>10</v>
      </c>
      <c r="D48" s="21" t="s">
        <v>88</v>
      </c>
      <c r="E48" s="39" t="s">
        <v>428</v>
      </c>
      <c r="F48" s="21"/>
      <c r="G48" s="22">
        <f>G49</f>
        <v>10</v>
      </c>
      <c r="H48" s="22" t="str">
        <f t="shared" ref="H48:I48" si="15">H49</f>
        <v>10,6</v>
      </c>
      <c r="I48" s="22">
        <f t="shared" si="15"/>
        <v>11.1</v>
      </c>
    </row>
    <row r="49" spans="1:10" ht="37.5" x14ac:dyDescent="0.3">
      <c r="A49" s="237" t="s">
        <v>426</v>
      </c>
      <c r="B49" s="26" t="s">
        <v>46</v>
      </c>
      <c r="C49" s="28" t="s">
        <v>10</v>
      </c>
      <c r="D49" s="21" t="s">
        <v>88</v>
      </c>
      <c r="E49" s="39" t="s">
        <v>428</v>
      </c>
      <c r="F49" s="21" t="s">
        <v>47</v>
      </c>
      <c r="G49" s="22">
        <v>10</v>
      </c>
      <c r="H49" s="21" t="s">
        <v>416</v>
      </c>
      <c r="I49" s="113">
        <v>11.1</v>
      </c>
    </row>
    <row r="50" spans="1:10" ht="25.5" customHeight="1" x14ac:dyDescent="0.3">
      <c r="A50" s="348" t="s">
        <v>26</v>
      </c>
      <c r="B50" s="40" t="s">
        <v>90</v>
      </c>
      <c r="C50" s="41" t="s">
        <v>10</v>
      </c>
      <c r="D50" s="15" t="s">
        <v>91</v>
      </c>
      <c r="E50" s="42"/>
      <c r="F50" s="15"/>
      <c r="G50" s="17">
        <f>G51</f>
        <v>19902</v>
      </c>
      <c r="H50" s="17">
        <f t="shared" ref="H50:I50" si="16">H51</f>
        <v>16971.800000000003</v>
      </c>
      <c r="I50" s="17">
        <f t="shared" si="16"/>
        <v>22851.3</v>
      </c>
    </row>
    <row r="51" spans="1:10" ht="18.75" x14ac:dyDescent="0.3">
      <c r="A51" s="237" t="s">
        <v>205</v>
      </c>
      <c r="B51" s="30" t="s">
        <v>92</v>
      </c>
      <c r="C51" s="43" t="s">
        <v>10</v>
      </c>
      <c r="D51" s="31" t="s">
        <v>93</v>
      </c>
      <c r="E51" s="44"/>
      <c r="F51" s="31"/>
      <c r="G51" s="32">
        <f>G52+G54+G58+G60+G62+G64+G66+G68+G56</f>
        <v>19902</v>
      </c>
      <c r="H51" s="32">
        <f>H52+H54+H58+H60+H62+H64+H66+H68</f>
        <v>16971.800000000003</v>
      </c>
      <c r="I51" s="32">
        <f t="shared" ref="I51" si="17">I52+I54+I58+I60+I62+I64+I66+I68</f>
        <v>22851.3</v>
      </c>
    </row>
    <row r="52" spans="1:10" ht="37.5" x14ac:dyDescent="0.3">
      <c r="A52" s="241" t="s">
        <v>311</v>
      </c>
      <c r="B52" s="45" t="s">
        <v>94</v>
      </c>
      <c r="C52" s="43" t="s">
        <v>10</v>
      </c>
      <c r="D52" s="31" t="s">
        <v>93</v>
      </c>
      <c r="E52" s="44" t="s">
        <v>95</v>
      </c>
      <c r="F52" s="31"/>
      <c r="G52" s="32">
        <f>G53</f>
        <v>350.1</v>
      </c>
      <c r="H52" s="32">
        <f t="shared" ref="H52:I52" si="18">H53</f>
        <v>340.7</v>
      </c>
      <c r="I52" s="32">
        <f t="shared" si="18"/>
        <v>334.3</v>
      </c>
    </row>
    <row r="53" spans="1:10" ht="39.75" customHeight="1" x14ac:dyDescent="0.3">
      <c r="A53" s="237" t="s">
        <v>290</v>
      </c>
      <c r="B53" s="26" t="s">
        <v>46</v>
      </c>
      <c r="C53" s="21" t="s">
        <v>10</v>
      </c>
      <c r="D53" s="21" t="s">
        <v>93</v>
      </c>
      <c r="E53" s="39" t="s">
        <v>95</v>
      </c>
      <c r="F53" s="21" t="s">
        <v>47</v>
      </c>
      <c r="G53" s="22">
        <v>350.1</v>
      </c>
      <c r="H53" s="108">
        <v>340.7</v>
      </c>
      <c r="I53" s="108">
        <v>334.3</v>
      </c>
    </row>
    <row r="54" spans="1:10" ht="96.75" customHeight="1" x14ac:dyDescent="0.3">
      <c r="A54" s="241" t="s">
        <v>279</v>
      </c>
      <c r="B54" s="45" t="s">
        <v>96</v>
      </c>
      <c r="C54" s="31" t="s">
        <v>10</v>
      </c>
      <c r="D54" s="31" t="s">
        <v>93</v>
      </c>
      <c r="E54" s="44" t="s">
        <v>248</v>
      </c>
      <c r="F54" s="31"/>
      <c r="G54" s="32">
        <f>G55</f>
        <v>250</v>
      </c>
      <c r="H54" s="32">
        <f t="shared" ref="H54:I54" si="19">H55</f>
        <v>179.60000000000002</v>
      </c>
      <c r="I54" s="32">
        <f t="shared" si="19"/>
        <v>189.10000000000002</v>
      </c>
    </row>
    <row r="55" spans="1:10" ht="37.5" x14ac:dyDescent="0.3">
      <c r="A55" s="237" t="s">
        <v>291</v>
      </c>
      <c r="B55" s="26" t="s">
        <v>46</v>
      </c>
      <c r="C55" s="21" t="s">
        <v>10</v>
      </c>
      <c r="D55" s="21" t="s">
        <v>93</v>
      </c>
      <c r="E55" s="39" t="s">
        <v>248</v>
      </c>
      <c r="F55" s="21" t="s">
        <v>47</v>
      </c>
      <c r="G55" s="22">
        <v>250</v>
      </c>
      <c r="H55" s="172">
        <f>16.5+153.3+9.8</f>
        <v>179.60000000000002</v>
      </c>
      <c r="I55" s="172">
        <f>17.4+161.4+10.3</f>
        <v>189.10000000000002</v>
      </c>
    </row>
    <row r="56" spans="1:10" ht="56.25" x14ac:dyDescent="0.3">
      <c r="A56" s="241" t="s">
        <v>280</v>
      </c>
      <c r="B56" s="45" t="s">
        <v>852</v>
      </c>
      <c r="C56" s="43" t="s">
        <v>10</v>
      </c>
      <c r="D56" s="31" t="s">
        <v>93</v>
      </c>
      <c r="E56" s="44" t="s">
        <v>853</v>
      </c>
      <c r="F56" s="31"/>
      <c r="G56" s="120">
        <f>G57</f>
        <v>60</v>
      </c>
      <c r="H56" s="120">
        <f t="shared" ref="H56:I56" si="20">H57</f>
        <v>0</v>
      </c>
      <c r="I56" s="120">
        <f t="shared" si="20"/>
        <v>0</v>
      </c>
      <c r="J56" s="161" t="s">
        <v>851</v>
      </c>
    </row>
    <row r="57" spans="1:10" ht="37.5" x14ac:dyDescent="0.3">
      <c r="A57" s="237" t="s">
        <v>292</v>
      </c>
      <c r="B57" s="26" t="s">
        <v>46</v>
      </c>
      <c r="C57" s="28" t="s">
        <v>10</v>
      </c>
      <c r="D57" s="21" t="s">
        <v>93</v>
      </c>
      <c r="E57" s="39" t="s">
        <v>853</v>
      </c>
      <c r="F57" s="21" t="s">
        <v>47</v>
      </c>
      <c r="G57" s="122">
        <f>J57</f>
        <v>60</v>
      </c>
      <c r="H57" s="122">
        <v>0</v>
      </c>
      <c r="I57" s="225">
        <v>0</v>
      </c>
      <c r="J57" s="233">
        <v>60</v>
      </c>
    </row>
    <row r="58" spans="1:10" s="3" customFormat="1" ht="56.25" customHeight="1" x14ac:dyDescent="0.3">
      <c r="A58" s="241" t="s">
        <v>281</v>
      </c>
      <c r="B58" s="45" t="s">
        <v>97</v>
      </c>
      <c r="C58" s="43" t="s">
        <v>10</v>
      </c>
      <c r="D58" s="31" t="s">
        <v>93</v>
      </c>
      <c r="E58" s="44" t="s">
        <v>98</v>
      </c>
      <c r="F58" s="31"/>
      <c r="G58" s="32">
        <f>G59</f>
        <v>4346.8</v>
      </c>
      <c r="H58" s="32">
        <f t="shared" ref="H58:I58" si="21">H59</f>
        <v>955.70000000000027</v>
      </c>
      <c r="I58" s="32">
        <f t="shared" si="21"/>
        <v>1006.4000000000005</v>
      </c>
      <c r="J58" s="278" t="s">
        <v>851</v>
      </c>
    </row>
    <row r="59" spans="1:10" ht="36" customHeight="1" x14ac:dyDescent="0.3">
      <c r="A59" s="237" t="s">
        <v>293</v>
      </c>
      <c r="B59" s="26" t="s">
        <v>46</v>
      </c>
      <c r="C59" s="28" t="s">
        <v>10</v>
      </c>
      <c r="D59" s="21" t="s">
        <v>93</v>
      </c>
      <c r="E59" s="39" t="s">
        <v>98</v>
      </c>
      <c r="F59" s="21" t="s">
        <v>47</v>
      </c>
      <c r="G59" s="22">
        <f>4246.8+J59</f>
        <v>4346.8</v>
      </c>
      <c r="H59" s="101">
        <f>4540.6+191-3775.9</f>
        <v>955.70000000000027</v>
      </c>
      <c r="I59" s="101">
        <f>4781.3+201.1-3976</f>
        <v>1006.4000000000005</v>
      </c>
      <c r="J59" s="233">
        <v>100</v>
      </c>
    </row>
    <row r="60" spans="1:10" s="3" customFormat="1" ht="37.5" x14ac:dyDescent="0.3">
      <c r="A60" s="241" t="s">
        <v>282</v>
      </c>
      <c r="B60" s="45" t="s">
        <v>99</v>
      </c>
      <c r="C60" s="43" t="s">
        <v>10</v>
      </c>
      <c r="D60" s="31" t="s">
        <v>93</v>
      </c>
      <c r="E60" s="44" t="s">
        <v>249</v>
      </c>
      <c r="F60" s="31"/>
      <c r="G60" s="32">
        <f>G61</f>
        <v>250</v>
      </c>
      <c r="H60" s="32">
        <f t="shared" ref="H60:I60" si="22">H61</f>
        <v>75.3</v>
      </c>
      <c r="I60" s="32">
        <f t="shared" si="22"/>
        <v>95.2</v>
      </c>
      <c r="J60" s="162"/>
    </row>
    <row r="61" spans="1:10" ht="37.5" x14ac:dyDescent="0.3">
      <c r="A61" s="237" t="s">
        <v>294</v>
      </c>
      <c r="B61" s="26" t="s">
        <v>46</v>
      </c>
      <c r="C61" s="28" t="s">
        <v>10</v>
      </c>
      <c r="D61" s="21" t="s">
        <v>93</v>
      </c>
      <c r="E61" s="39" t="s">
        <v>249</v>
      </c>
      <c r="F61" s="21" t="s">
        <v>47</v>
      </c>
      <c r="G61" s="22">
        <v>250</v>
      </c>
      <c r="H61" s="108">
        <v>75.3</v>
      </c>
      <c r="I61" s="108">
        <v>95.2</v>
      </c>
    </row>
    <row r="62" spans="1:10" s="3" customFormat="1" ht="74.25" customHeight="1" x14ac:dyDescent="0.3">
      <c r="A62" s="241" t="s">
        <v>283</v>
      </c>
      <c r="B62" s="45" t="s">
        <v>100</v>
      </c>
      <c r="C62" s="43" t="s">
        <v>10</v>
      </c>
      <c r="D62" s="31" t="s">
        <v>93</v>
      </c>
      <c r="E62" s="44" t="s">
        <v>250</v>
      </c>
      <c r="F62" s="31"/>
      <c r="G62" s="32">
        <f>G63</f>
        <v>579.79999999999995</v>
      </c>
      <c r="H62" s="32">
        <f t="shared" ref="H62:I62" si="23">H63</f>
        <v>806.5</v>
      </c>
      <c r="I62" s="32">
        <f t="shared" si="23"/>
        <v>849.3</v>
      </c>
      <c r="J62" s="162"/>
    </row>
    <row r="63" spans="1:10" ht="37.5" x14ac:dyDescent="0.3">
      <c r="A63" s="237" t="s">
        <v>295</v>
      </c>
      <c r="B63" s="26" t="s">
        <v>46</v>
      </c>
      <c r="C63" s="28" t="s">
        <v>10</v>
      </c>
      <c r="D63" s="21" t="s">
        <v>93</v>
      </c>
      <c r="E63" s="39" t="s">
        <v>250</v>
      </c>
      <c r="F63" s="21" t="s">
        <v>47</v>
      </c>
      <c r="G63" s="22">
        <f>579.8</f>
        <v>579.79999999999995</v>
      </c>
      <c r="H63" s="108">
        <v>806.5</v>
      </c>
      <c r="I63" s="108">
        <v>849.3</v>
      </c>
    </row>
    <row r="64" spans="1:10" ht="60.75" customHeight="1" x14ac:dyDescent="0.3">
      <c r="A64" s="241" t="s">
        <v>284</v>
      </c>
      <c r="B64" s="45" t="s">
        <v>101</v>
      </c>
      <c r="C64" s="43" t="s">
        <v>10</v>
      </c>
      <c r="D64" s="31" t="s">
        <v>93</v>
      </c>
      <c r="E64" s="44" t="s">
        <v>251</v>
      </c>
      <c r="F64" s="31"/>
      <c r="G64" s="32">
        <f>G65</f>
        <v>4230.1000000000004</v>
      </c>
      <c r="H64" s="32">
        <f t="shared" ref="H64:I64" si="24">H65</f>
        <v>3934.9</v>
      </c>
      <c r="I64" s="32">
        <f t="shared" si="24"/>
        <v>2736.7</v>
      </c>
      <c r="J64" s="161" t="s">
        <v>851</v>
      </c>
    </row>
    <row r="65" spans="1:10" ht="37.5" x14ac:dyDescent="0.3">
      <c r="A65" s="237" t="s">
        <v>296</v>
      </c>
      <c r="B65" s="26" t="s">
        <v>46</v>
      </c>
      <c r="C65" s="28" t="s">
        <v>10</v>
      </c>
      <c r="D65" s="21" t="s">
        <v>93</v>
      </c>
      <c r="E65" s="39" t="s">
        <v>251</v>
      </c>
      <c r="F65" s="21" t="s">
        <v>47</v>
      </c>
      <c r="G65" s="22">
        <f>4143.1+J65</f>
        <v>4230.1000000000004</v>
      </c>
      <c r="H65" s="101">
        <f>6.9+1235.1+6.4+2686.5</f>
        <v>3934.9</v>
      </c>
      <c r="I65" s="172">
        <f>4.4+839.6+6.7+1886</f>
        <v>2736.7</v>
      </c>
      <c r="J65" s="233">
        <v>87</v>
      </c>
    </row>
    <row r="66" spans="1:10" ht="57" customHeight="1" x14ac:dyDescent="0.3">
      <c r="A66" s="241" t="s">
        <v>456</v>
      </c>
      <c r="B66" s="30" t="s">
        <v>102</v>
      </c>
      <c r="C66" s="43" t="s">
        <v>10</v>
      </c>
      <c r="D66" s="31" t="s">
        <v>93</v>
      </c>
      <c r="E66" s="44" t="s">
        <v>103</v>
      </c>
      <c r="F66" s="31"/>
      <c r="G66" s="32">
        <f>G67</f>
        <v>9835.2000000000007</v>
      </c>
      <c r="H66" s="32">
        <f t="shared" ref="H66:I66" si="25">H67</f>
        <v>9005.8000000000011</v>
      </c>
      <c r="I66" s="32">
        <f t="shared" si="25"/>
        <v>13755.6</v>
      </c>
      <c r="J66" s="161" t="s">
        <v>851</v>
      </c>
    </row>
    <row r="67" spans="1:10" ht="37.5" x14ac:dyDescent="0.3">
      <c r="A67" s="237" t="s">
        <v>457</v>
      </c>
      <c r="B67" s="26" t="s">
        <v>46</v>
      </c>
      <c r="C67" s="28" t="s">
        <v>10</v>
      </c>
      <c r="D67" s="21" t="s">
        <v>93</v>
      </c>
      <c r="E67" s="39" t="s">
        <v>103</v>
      </c>
      <c r="F67" s="21" t="s">
        <v>47</v>
      </c>
      <c r="G67" s="22">
        <f>9632.2+J67</f>
        <v>9835.2000000000007</v>
      </c>
      <c r="H67" s="101">
        <f>11033.6-770-1257.8</f>
        <v>9005.8000000000011</v>
      </c>
      <c r="I67" s="172">
        <f>11346.7+2436.8-27.9</f>
        <v>13755.6</v>
      </c>
      <c r="J67" s="233">
        <v>203</v>
      </c>
    </row>
    <row r="68" spans="1:10" s="3" customFormat="1" ht="20.25" customHeight="1" x14ac:dyDescent="0.3">
      <c r="A68" s="241" t="s">
        <v>854</v>
      </c>
      <c r="B68" s="45" t="s">
        <v>455</v>
      </c>
      <c r="C68" s="43" t="s">
        <v>10</v>
      </c>
      <c r="D68" s="31" t="s">
        <v>93</v>
      </c>
      <c r="E68" s="44" t="s">
        <v>459</v>
      </c>
      <c r="F68" s="31"/>
      <c r="G68" s="32">
        <v>0</v>
      </c>
      <c r="H68" s="32">
        <f>H69</f>
        <v>1673.3</v>
      </c>
      <c r="I68" s="120">
        <f>I69</f>
        <v>3884.7</v>
      </c>
      <c r="J68" s="162"/>
    </row>
    <row r="69" spans="1:10" ht="18.75" x14ac:dyDescent="0.3">
      <c r="A69" s="237" t="s">
        <v>855</v>
      </c>
      <c r="B69" s="26" t="s">
        <v>49</v>
      </c>
      <c r="C69" s="28" t="s">
        <v>10</v>
      </c>
      <c r="D69" s="21" t="s">
        <v>93</v>
      </c>
      <c r="E69" s="39" t="s">
        <v>459</v>
      </c>
      <c r="F69" s="21" t="s">
        <v>50</v>
      </c>
      <c r="G69" s="22">
        <v>0</v>
      </c>
      <c r="H69" s="121">
        <v>1673.3</v>
      </c>
      <c r="I69" s="122">
        <f>3976-91.3</f>
        <v>3884.7</v>
      </c>
    </row>
    <row r="70" spans="1:10" ht="20.25" x14ac:dyDescent="0.3">
      <c r="A70" s="348" t="s">
        <v>27</v>
      </c>
      <c r="B70" s="46" t="s">
        <v>104</v>
      </c>
      <c r="C70" s="41" t="s">
        <v>10</v>
      </c>
      <c r="D70" s="15" t="s">
        <v>105</v>
      </c>
      <c r="E70" s="42"/>
      <c r="F70" s="15"/>
      <c r="G70" s="17">
        <f>G72</f>
        <v>30</v>
      </c>
      <c r="H70" s="17" t="str">
        <f t="shared" ref="H70:I70" si="26">H72</f>
        <v>24,6</v>
      </c>
      <c r="I70" s="17">
        <f t="shared" si="26"/>
        <v>29.2</v>
      </c>
    </row>
    <row r="71" spans="1:10" ht="18.75" customHeight="1" x14ac:dyDescent="0.3">
      <c r="A71" s="237" t="s">
        <v>209</v>
      </c>
      <c r="B71" s="26" t="s">
        <v>106</v>
      </c>
      <c r="C71" s="28" t="s">
        <v>10</v>
      </c>
      <c r="D71" s="21" t="s">
        <v>107</v>
      </c>
      <c r="E71" s="39"/>
      <c r="F71" s="21"/>
      <c r="G71" s="22">
        <f>G72</f>
        <v>30</v>
      </c>
      <c r="H71" s="22" t="str">
        <f t="shared" ref="H71:I72" si="27">H72</f>
        <v>24,6</v>
      </c>
      <c r="I71" s="22">
        <f t="shared" si="27"/>
        <v>29.2</v>
      </c>
    </row>
    <row r="72" spans="1:10" ht="75" x14ac:dyDescent="0.3">
      <c r="A72" s="241" t="s">
        <v>210</v>
      </c>
      <c r="B72" s="45" t="s">
        <v>108</v>
      </c>
      <c r="C72" s="43" t="s">
        <v>10</v>
      </c>
      <c r="D72" s="31" t="s">
        <v>107</v>
      </c>
      <c r="E72" s="44" t="s">
        <v>109</v>
      </c>
      <c r="F72" s="31"/>
      <c r="G72" s="32">
        <f>G73</f>
        <v>30</v>
      </c>
      <c r="H72" s="32" t="str">
        <f t="shared" si="27"/>
        <v>24,6</v>
      </c>
      <c r="I72" s="32">
        <f t="shared" si="27"/>
        <v>29.2</v>
      </c>
      <c r="J72" s="163"/>
    </row>
    <row r="73" spans="1:10" ht="37.5" x14ac:dyDescent="0.3">
      <c r="A73" s="237" t="s">
        <v>297</v>
      </c>
      <c r="B73" s="26" t="s">
        <v>46</v>
      </c>
      <c r="C73" s="28" t="s">
        <v>10</v>
      </c>
      <c r="D73" s="21" t="s">
        <v>107</v>
      </c>
      <c r="E73" s="39" t="s">
        <v>109</v>
      </c>
      <c r="F73" s="21" t="s">
        <v>47</v>
      </c>
      <c r="G73" s="22">
        <f>30+J73</f>
        <v>30</v>
      </c>
      <c r="H73" s="18" t="s">
        <v>424</v>
      </c>
      <c r="I73" s="108">
        <v>29.2</v>
      </c>
      <c r="J73" s="291"/>
    </row>
    <row r="74" spans="1:10" ht="20.25" x14ac:dyDescent="0.3">
      <c r="A74" s="348" t="s">
        <v>28</v>
      </c>
      <c r="B74" s="46" t="s">
        <v>110</v>
      </c>
      <c r="C74" s="41" t="s">
        <v>10</v>
      </c>
      <c r="D74" s="15" t="s">
        <v>111</v>
      </c>
      <c r="E74" s="15"/>
      <c r="F74" s="15"/>
      <c r="G74" s="17">
        <f>G75+G78</f>
        <v>424.9</v>
      </c>
      <c r="H74" s="17">
        <f t="shared" ref="H74:I74" si="28">H75+H78</f>
        <v>440.70000000000005</v>
      </c>
      <c r="I74" s="17">
        <f t="shared" si="28"/>
        <v>466.7</v>
      </c>
    </row>
    <row r="75" spans="1:10" ht="37.5" x14ac:dyDescent="0.3">
      <c r="A75" s="241" t="s">
        <v>213</v>
      </c>
      <c r="B75" s="30" t="s">
        <v>112</v>
      </c>
      <c r="C75" s="43" t="s">
        <v>10</v>
      </c>
      <c r="D75" s="31" t="s">
        <v>113</v>
      </c>
      <c r="E75" s="31"/>
      <c r="F75" s="31"/>
      <c r="G75" s="32">
        <f>G76</f>
        <v>210</v>
      </c>
      <c r="H75" s="32" t="str">
        <f t="shared" ref="H75:I76" si="29">H76</f>
        <v>221,4</v>
      </c>
      <c r="I75" s="32" t="str">
        <f t="shared" si="29"/>
        <v>233,2</v>
      </c>
    </row>
    <row r="76" spans="1:10" ht="18.75" x14ac:dyDescent="0.3">
      <c r="A76" s="237" t="s">
        <v>312</v>
      </c>
      <c r="B76" s="26" t="s">
        <v>114</v>
      </c>
      <c r="C76" s="28" t="s">
        <v>10</v>
      </c>
      <c r="D76" s="21" t="s">
        <v>113</v>
      </c>
      <c r="E76" s="21" t="s">
        <v>115</v>
      </c>
      <c r="F76" s="21"/>
      <c r="G76" s="22">
        <f>G77</f>
        <v>210</v>
      </c>
      <c r="H76" s="22" t="str">
        <f t="shared" si="29"/>
        <v>221,4</v>
      </c>
      <c r="I76" s="22" t="str">
        <f t="shared" si="29"/>
        <v>233,2</v>
      </c>
    </row>
    <row r="77" spans="1:10" ht="37.5" x14ac:dyDescent="0.3">
      <c r="A77" s="237" t="s">
        <v>298</v>
      </c>
      <c r="B77" s="26" t="s">
        <v>46</v>
      </c>
      <c r="C77" s="28" t="s">
        <v>10</v>
      </c>
      <c r="D77" s="21" t="s">
        <v>113</v>
      </c>
      <c r="E77" s="21" t="s">
        <v>115</v>
      </c>
      <c r="F77" s="21" t="s">
        <v>47</v>
      </c>
      <c r="G77" s="22">
        <v>210</v>
      </c>
      <c r="H77" s="63" t="s">
        <v>434</v>
      </c>
      <c r="I77" s="18" t="s">
        <v>435</v>
      </c>
    </row>
    <row r="78" spans="1:10" ht="18.75" customHeight="1" x14ac:dyDescent="0.3">
      <c r="A78" s="241" t="s">
        <v>215</v>
      </c>
      <c r="B78" s="45" t="s">
        <v>119</v>
      </c>
      <c r="C78" s="43" t="s">
        <v>10</v>
      </c>
      <c r="D78" s="31" t="s">
        <v>120</v>
      </c>
      <c r="E78" s="44"/>
      <c r="F78" s="31"/>
      <c r="G78" s="32">
        <f>G79+G81+G83+G85+G87+G89</f>
        <v>214.9</v>
      </c>
      <c r="H78" s="32">
        <f t="shared" ref="H78:I78" si="30">H79+H81+H83+H85+H87+H89</f>
        <v>219.3</v>
      </c>
      <c r="I78" s="32">
        <f t="shared" si="30"/>
        <v>233.5</v>
      </c>
    </row>
    <row r="79" spans="1:10" ht="75" x14ac:dyDescent="0.3">
      <c r="A79" s="241" t="s">
        <v>216</v>
      </c>
      <c r="B79" s="45" t="s">
        <v>436</v>
      </c>
      <c r="C79" s="43" t="s">
        <v>10</v>
      </c>
      <c r="D79" s="31" t="s">
        <v>120</v>
      </c>
      <c r="E79" s="31" t="s">
        <v>118</v>
      </c>
      <c r="F79" s="31"/>
      <c r="G79" s="32">
        <f>G80</f>
        <v>59.9</v>
      </c>
      <c r="H79" s="32" t="str">
        <f t="shared" ref="H79:I79" si="31">H80</f>
        <v>66,9</v>
      </c>
      <c r="I79" s="32">
        <f t="shared" si="31"/>
        <v>64.900000000000006</v>
      </c>
    </row>
    <row r="80" spans="1:10" ht="37.5" x14ac:dyDescent="0.3">
      <c r="A80" s="237" t="s">
        <v>299</v>
      </c>
      <c r="B80" s="26" t="s">
        <v>46</v>
      </c>
      <c r="C80" s="28" t="s">
        <v>10</v>
      </c>
      <c r="D80" s="21" t="s">
        <v>120</v>
      </c>
      <c r="E80" s="21" t="s">
        <v>118</v>
      </c>
      <c r="F80" s="21" t="s">
        <v>47</v>
      </c>
      <c r="G80" s="22">
        <v>59.9</v>
      </c>
      <c r="H80" s="18" t="s">
        <v>423</v>
      </c>
      <c r="I80" s="108">
        <v>64.900000000000006</v>
      </c>
    </row>
    <row r="81" spans="1:10" ht="93" customHeight="1" x14ac:dyDescent="0.3">
      <c r="A81" s="241" t="s">
        <v>417</v>
      </c>
      <c r="B81" s="30" t="s">
        <v>121</v>
      </c>
      <c r="C81" s="43" t="s">
        <v>10</v>
      </c>
      <c r="D81" s="43" t="s">
        <v>120</v>
      </c>
      <c r="E81" s="31" t="s">
        <v>122</v>
      </c>
      <c r="F81" s="31"/>
      <c r="G81" s="32">
        <f>G82</f>
        <v>10</v>
      </c>
      <c r="H81" s="32" t="str">
        <f t="shared" ref="H81:I81" si="32">H82</f>
        <v>10,6</v>
      </c>
      <c r="I81" s="32">
        <f t="shared" si="32"/>
        <v>11.2</v>
      </c>
    </row>
    <row r="82" spans="1:10" ht="37.5" x14ac:dyDescent="0.3">
      <c r="A82" s="237" t="s">
        <v>418</v>
      </c>
      <c r="B82" s="26" t="s">
        <v>46</v>
      </c>
      <c r="C82" s="28" t="s">
        <v>10</v>
      </c>
      <c r="D82" s="28" t="s">
        <v>120</v>
      </c>
      <c r="E82" s="21" t="s">
        <v>122</v>
      </c>
      <c r="F82" s="21" t="s">
        <v>47</v>
      </c>
      <c r="G82" s="22">
        <v>10</v>
      </c>
      <c r="H82" s="18" t="s">
        <v>416</v>
      </c>
      <c r="I82" s="108">
        <v>11.2</v>
      </c>
    </row>
    <row r="83" spans="1:10" ht="93" customHeight="1" x14ac:dyDescent="0.3">
      <c r="A83" s="241" t="s">
        <v>419</v>
      </c>
      <c r="B83" s="323" t="s">
        <v>123</v>
      </c>
      <c r="C83" s="43" t="s">
        <v>10</v>
      </c>
      <c r="D83" s="31" t="s">
        <v>120</v>
      </c>
      <c r="E83" s="31" t="s">
        <v>124</v>
      </c>
      <c r="F83" s="31"/>
      <c r="G83" s="32">
        <f>G84</f>
        <v>65</v>
      </c>
      <c r="H83" s="32" t="str">
        <f t="shared" ref="H83:I83" si="33">H84</f>
        <v>53,8</v>
      </c>
      <c r="I83" s="32">
        <f t="shared" si="33"/>
        <v>63.3</v>
      </c>
    </row>
    <row r="84" spans="1:10" ht="37.5" x14ac:dyDescent="0.3">
      <c r="A84" s="237" t="s">
        <v>420</v>
      </c>
      <c r="B84" s="26" t="s">
        <v>46</v>
      </c>
      <c r="C84" s="28" t="s">
        <v>10</v>
      </c>
      <c r="D84" s="28" t="s">
        <v>120</v>
      </c>
      <c r="E84" s="21" t="s">
        <v>124</v>
      </c>
      <c r="F84" s="21" t="s">
        <v>47</v>
      </c>
      <c r="G84" s="22">
        <v>65</v>
      </c>
      <c r="H84" s="18" t="s">
        <v>415</v>
      </c>
      <c r="I84" s="108">
        <v>63.3</v>
      </c>
    </row>
    <row r="85" spans="1:10" ht="133.5" customHeight="1" x14ac:dyDescent="0.3">
      <c r="A85" s="241" t="s">
        <v>421</v>
      </c>
      <c r="B85" s="45" t="s">
        <v>246</v>
      </c>
      <c r="C85" s="43" t="s">
        <v>10</v>
      </c>
      <c r="D85" s="43" t="s">
        <v>120</v>
      </c>
      <c r="E85" s="31" t="s">
        <v>125</v>
      </c>
      <c r="F85" s="31"/>
      <c r="G85" s="32">
        <f>G86</f>
        <v>45</v>
      </c>
      <c r="H85" s="32">
        <f t="shared" ref="H85:I85" si="34">H86</f>
        <v>51</v>
      </c>
      <c r="I85" s="32">
        <f t="shared" si="34"/>
        <v>55</v>
      </c>
    </row>
    <row r="86" spans="1:10" ht="33.75" customHeight="1" x14ac:dyDescent="0.3">
      <c r="A86" s="237" t="s">
        <v>422</v>
      </c>
      <c r="B86" s="26" t="s">
        <v>46</v>
      </c>
      <c r="C86" s="28" t="s">
        <v>10</v>
      </c>
      <c r="D86" s="28" t="s">
        <v>120</v>
      </c>
      <c r="E86" s="21" t="s">
        <v>125</v>
      </c>
      <c r="F86" s="21" t="s">
        <v>47</v>
      </c>
      <c r="G86" s="22">
        <v>45</v>
      </c>
      <c r="H86" s="109">
        <v>51</v>
      </c>
      <c r="I86" s="110">
        <v>55</v>
      </c>
    </row>
    <row r="87" spans="1:10" ht="151.5" customHeight="1" x14ac:dyDescent="0.3">
      <c r="A87" s="241" t="s">
        <v>432</v>
      </c>
      <c r="B87" s="292" t="s">
        <v>76</v>
      </c>
      <c r="C87" s="43" t="s">
        <v>10</v>
      </c>
      <c r="D87" s="31" t="s">
        <v>120</v>
      </c>
      <c r="E87" s="31" t="s">
        <v>77</v>
      </c>
      <c r="F87" s="31"/>
      <c r="G87" s="32">
        <f>G88</f>
        <v>10</v>
      </c>
      <c r="H87" s="32">
        <f t="shared" ref="H87:I87" si="35">H88</f>
        <v>10.6</v>
      </c>
      <c r="I87" s="32">
        <f t="shared" si="35"/>
        <v>11.2</v>
      </c>
    </row>
    <row r="88" spans="1:10" ht="33.75" customHeight="1" x14ac:dyDescent="0.3">
      <c r="A88" s="237" t="s">
        <v>433</v>
      </c>
      <c r="B88" s="26" t="s">
        <v>46</v>
      </c>
      <c r="C88" s="28" t="s">
        <v>10</v>
      </c>
      <c r="D88" s="21" t="s">
        <v>120</v>
      </c>
      <c r="E88" s="21" t="s">
        <v>77</v>
      </c>
      <c r="F88" s="21" t="s">
        <v>47</v>
      </c>
      <c r="G88" s="22">
        <v>10</v>
      </c>
      <c r="H88" s="108">
        <v>10.6</v>
      </c>
      <c r="I88" s="108">
        <v>11.2</v>
      </c>
    </row>
    <row r="89" spans="1:10" ht="186" customHeight="1" x14ac:dyDescent="0.3">
      <c r="A89" s="241" t="s">
        <v>437</v>
      </c>
      <c r="B89" s="45" t="s">
        <v>440</v>
      </c>
      <c r="C89" s="43" t="s">
        <v>10</v>
      </c>
      <c r="D89" s="31" t="s">
        <v>120</v>
      </c>
      <c r="E89" s="31" t="s">
        <v>439</v>
      </c>
      <c r="F89" s="31"/>
      <c r="G89" s="32">
        <f>G90</f>
        <v>25</v>
      </c>
      <c r="H89" s="32">
        <f t="shared" ref="H89:I89" si="36">H90</f>
        <v>26.4</v>
      </c>
      <c r="I89" s="32">
        <f t="shared" si="36"/>
        <v>27.9</v>
      </c>
    </row>
    <row r="90" spans="1:10" ht="36" customHeight="1" x14ac:dyDescent="0.3">
      <c r="A90" s="237" t="s">
        <v>438</v>
      </c>
      <c r="B90" s="26" t="s">
        <v>46</v>
      </c>
      <c r="C90" s="28" t="s">
        <v>10</v>
      </c>
      <c r="D90" s="21" t="s">
        <v>120</v>
      </c>
      <c r="E90" s="21" t="s">
        <v>439</v>
      </c>
      <c r="F90" s="21" t="s">
        <v>47</v>
      </c>
      <c r="G90" s="22">
        <v>25</v>
      </c>
      <c r="H90" s="113">
        <v>26.4</v>
      </c>
      <c r="I90" s="113">
        <v>27.9</v>
      </c>
    </row>
    <row r="91" spans="1:10" ht="20.25" x14ac:dyDescent="0.3">
      <c r="A91" s="348" t="s">
        <v>181</v>
      </c>
      <c r="B91" s="46" t="s">
        <v>126</v>
      </c>
      <c r="C91" s="41" t="s">
        <v>10</v>
      </c>
      <c r="D91" s="15" t="s">
        <v>127</v>
      </c>
      <c r="E91" s="15"/>
      <c r="F91" s="15"/>
      <c r="G91" s="17">
        <f>G92+G97</f>
        <v>8509.4</v>
      </c>
      <c r="H91" s="17">
        <f t="shared" ref="H91:I91" si="37">H92+H97</f>
        <v>8956</v>
      </c>
      <c r="I91" s="17">
        <f t="shared" si="37"/>
        <v>9656.9</v>
      </c>
    </row>
    <row r="92" spans="1:10" ht="18.75" x14ac:dyDescent="0.3">
      <c r="A92" s="241" t="s">
        <v>221</v>
      </c>
      <c r="B92" s="45" t="s">
        <v>128</v>
      </c>
      <c r="C92" s="43" t="s">
        <v>10</v>
      </c>
      <c r="D92" s="31" t="s">
        <v>129</v>
      </c>
      <c r="E92" s="31"/>
      <c r="F92" s="31"/>
      <c r="G92" s="32">
        <f>G93+G95</f>
        <v>7074.5</v>
      </c>
      <c r="H92" s="32">
        <f t="shared" ref="H92:I92" si="38">H93+H95</f>
        <v>7247.2</v>
      </c>
      <c r="I92" s="32">
        <f t="shared" si="38"/>
        <v>8143.3</v>
      </c>
    </row>
    <row r="93" spans="1:10" s="148" customFormat="1" ht="62.25" customHeight="1" x14ac:dyDescent="0.3">
      <c r="A93" s="237" t="s">
        <v>222</v>
      </c>
      <c r="B93" s="30" t="s">
        <v>130</v>
      </c>
      <c r="C93" s="240" t="s">
        <v>10</v>
      </c>
      <c r="D93" s="237" t="s">
        <v>131</v>
      </c>
      <c r="E93" s="237" t="s">
        <v>132</v>
      </c>
      <c r="F93" s="237"/>
      <c r="G93" s="238">
        <f>G94</f>
        <v>5301</v>
      </c>
      <c r="H93" s="238">
        <f t="shared" ref="H93:I93" si="39">H94</f>
        <v>5343.9</v>
      </c>
      <c r="I93" s="238" t="str">
        <f t="shared" si="39"/>
        <v>6122,8</v>
      </c>
      <c r="J93" s="291" t="s">
        <v>851</v>
      </c>
    </row>
    <row r="94" spans="1:10" ht="37.5" x14ac:dyDescent="0.3">
      <c r="A94" s="237" t="s">
        <v>300</v>
      </c>
      <c r="B94" s="26" t="s">
        <v>46</v>
      </c>
      <c r="C94" s="28" t="s">
        <v>10</v>
      </c>
      <c r="D94" s="21" t="s">
        <v>129</v>
      </c>
      <c r="E94" s="21" t="s">
        <v>132</v>
      </c>
      <c r="F94" s="21" t="s">
        <v>47</v>
      </c>
      <c r="G94" s="179">
        <f>5001+J94</f>
        <v>5301</v>
      </c>
      <c r="H94" s="172">
        <v>5343.9</v>
      </c>
      <c r="I94" s="101" t="s">
        <v>441</v>
      </c>
      <c r="J94" s="169">
        <v>300</v>
      </c>
    </row>
    <row r="95" spans="1:10" ht="93.75" x14ac:dyDescent="0.3">
      <c r="A95" s="237" t="s">
        <v>242</v>
      </c>
      <c r="B95" s="310" t="s">
        <v>179</v>
      </c>
      <c r="C95" s="28" t="s">
        <v>10</v>
      </c>
      <c r="D95" s="21" t="s">
        <v>131</v>
      </c>
      <c r="E95" s="21" t="s">
        <v>252</v>
      </c>
      <c r="F95" s="21"/>
      <c r="G95" s="58">
        <f>G96</f>
        <v>1773.5</v>
      </c>
      <c r="H95" s="58">
        <f t="shared" ref="H95:I95" si="40">H96</f>
        <v>1903.3</v>
      </c>
      <c r="I95" s="58">
        <f t="shared" si="40"/>
        <v>2020.5</v>
      </c>
    </row>
    <row r="96" spans="1:10" ht="37.5" x14ac:dyDescent="0.3">
      <c r="A96" s="237" t="s">
        <v>301</v>
      </c>
      <c r="B96" s="25" t="s">
        <v>46</v>
      </c>
      <c r="C96" s="28" t="s">
        <v>10</v>
      </c>
      <c r="D96" s="21" t="s">
        <v>131</v>
      </c>
      <c r="E96" s="21" t="s">
        <v>252</v>
      </c>
      <c r="F96" s="21" t="s">
        <v>47</v>
      </c>
      <c r="G96" s="58">
        <v>1773.5</v>
      </c>
      <c r="H96" s="172">
        <v>1903.3</v>
      </c>
      <c r="I96" s="101">
        <v>2020.5</v>
      </c>
    </row>
    <row r="97" spans="1:11" ht="37.5" x14ac:dyDescent="0.3">
      <c r="A97" s="237" t="s">
        <v>226</v>
      </c>
      <c r="B97" s="45" t="s">
        <v>133</v>
      </c>
      <c r="C97" s="28" t="s">
        <v>10</v>
      </c>
      <c r="D97" s="21" t="s">
        <v>134</v>
      </c>
      <c r="E97" s="21"/>
      <c r="F97" s="21"/>
      <c r="G97" s="22">
        <f>G98</f>
        <v>1434.9</v>
      </c>
      <c r="H97" s="22" t="str">
        <f t="shared" ref="H97:I98" si="41">H98</f>
        <v>1708,8</v>
      </c>
      <c r="I97" s="22" t="str">
        <f t="shared" si="41"/>
        <v>1513,6</v>
      </c>
    </row>
    <row r="98" spans="1:11" s="10" customFormat="1" ht="73.5" customHeight="1" x14ac:dyDescent="0.3">
      <c r="A98" s="237" t="s">
        <v>227</v>
      </c>
      <c r="B98" s="45" t="s">
        <v>135</v>
      </c>
      <c r="C98" s="28" t="s">
        <v>10</v>
      </c>
      <c r="D98" s="21" t="s">
        <v>134</v>
      </c>
      <c r="E98" s="21" t="s">
        <v>136</v>
      </c>
      <c r="F98" s="21"/>
      <c r="G98" s="22">
        <f>G99</f>
        <v>1434.9</v>
      </c>
      <c r="H98" s="22" t="str">
        <f t="shared" si="41"/>
        <v>1708,8</v>
      </c>
      <c r="I98" s="22" t="str">
        <f t="shared" si="41"/>
        <v>1513,6</v>
      </c>
      <c r="J98" s="163"/>
    </row>
    <row r="99" spans="1:11" s="10" customFormat="1" ht="37.5" x14ac:dyDescent="0.3">
      <c r="A99" s="237" t="s">
        <v>302</v>
      </c>
      <c r="B99" s="26" t="s">
        <v>46</v>
      </c>
      <c r="C99" s="28" t="s">
        <v>10</v>
      </c>
      <c r="D99" s="21" t="s">
        <v>134</v>
      </c>
      <c r="E99" s="21" t="s">
        <v>136</v>
      </c>
      <c r="F99" s="21" t="s">
        <v>47</v>
      </c>
      <c r="G99" s="179">
        <v>1434.9</v>
      </c>
      <c r="H99" s="18" t="s">
        <v>413</v>
      </c>
      <c r="I99" s="63" t="s">
        <v>414</v>
      </c>
      <c r="J99" s="163"/>
    </row>
    <row r="100" spans="1:11" s="10" customFormat="1" ht="20.25" x14ac:dyDescent="0.3">
      <c r="A100" s="348" t="s">
        <v>229</v>
      </c>
      <c r="B100" s="47" t="s">
        <v>137</v>
      </c>
      <c r="C100" s="41" t="s">
        <v>10</v>
      </c>
      <c r="D100" s="15" t="s">
        <v>138</v>
      </c>
      <c r="E100" s="15"/>
      <c r="F100" s="15"/>
      <c r="G100" s="17">
        <f>G101+G104</f>
        <v>7227</v>
      </c>
      <c r="H100" s="17">
        <f t="shared" ref="H100:I100" si="42">H101+H104</f>
        <v>7467.5999999999995</v>
      </c>
      <c r="I100" s="17">
        <f t="shared" si="42"/>
        <v>7914.9</v>
      </c>
      <c r="J100" s="163"/>
    </row>
    <row r="101" spans="1:11" s="294" customFormat="1" ht="20.25" x14ac:dyDescent="0.3">
      <c r="A101" s="348" t="s">
        <v>231</v>
      </c>
      <c r="B101" s="45" t="s">
        <v>443</v>
      </c>
      <c r="C101" s="43" t="s">
        <v>10</v>
      </c>
      <c r="D101" s="31" t="s">
        <v>442</v>
      </c>
      <c r="E101" s="31"/>
      <c r="F101" s="31"/>
      <c r="G101" s="32">
        <f>G102</f>
        <v>657.5</v>
      </c>
      <c r="H101" s="32">
        <f t="shared" ref="H101:I102" si="43">H102</f>
        <v>543.70000000000005</v>
      </c>
      <c r="I101" s="32">
        <f t="shared" si="43"/>
        <v>543.70000000000005</v>
      </c>
      <c r="J101" s="278"/>
    </row>
    <row r="102" spans="1:11" s="10" customFormat="1" ht="53.25" customHeight="1" x14ac:dyDescent="0.3">
      <c r="A102" s="350" t="s">
        <v>313</v>
      </c>
      <c r="B102" s="26" t="s">
        <v>139</v>
      </c>
      <c r="C102" s="28" t="s">
        <v>10</v>
      </c>
      <c r="D102" s="21" t="s">
        <v>442</v>
      </c>
      <c r="E102" s="21" t="s">
        <v>140</v>
      </c>
      <c r="F102" s="21"/>
      <c r="G102" s="22">
        <f>G103</f>
        <v>657.5</v>
      </c>
      <c r="H102" s="22">
        <f t="shared" si="43"/>
        <v>543.70000000000005</v>
      </c>
      <c r="I102" s="22">
        <f t="shared" si="43"/>
        <v>543.70000000000005</v>
      </c>
      <c r="J102" s="163"/>
    </row>
    <row r="103" spans="1:11" s="10" customFormat="1" ht="20.25" x14ac:dyDescent="0.3">
      <c r="A103" s="350" t="s">
        <v>303</v>
      </c>
      <c r="B103" s="26" t="s">
        <v>141</v>
      </c>
      <c r="C103" s="28" t="s">
        <v>10</v>
      </c>
      <c r="D103" s="21" t="s">
        <v>442</v>
      </c>
      <c r="E103" s="21" t="s">
        <v>140</v>
      </c>
      <c r="F103" s="21" t="s">
        <v>142</v>
      </c>
      <c r="G103" s="22">
        <v>657.5</v>
      </c>
      <c r="H103" s="108">
        <v>543.70000000000005</v>
      </c>
      <c r="I103" s="123">
        <v>543.70000000000005</v>
      </c>
      <c r="J103" s="163"/>
    </row>
    <row r="104" spans="1:11" s="294" customFormat="1" ht="20.25" x14ac:dyDescent="0.3">
      <c r="A104" s="348" t="s">
        <v>232</v>
      </c>
      <c r="B104" s="45" t="s">
        <v>143</v>
      </c>
      <c r="C104" s="43" t="s">
        <v>10</v>
      </c>
      <c r="D104" s="31" t="s">
        <v>144</v>
      </c>
      <c r="E104" s="31"/>
      <c r="F104" s="31"/>
      <c r="G104" s="32">
        <f>G105+G107</f>
        <v>6569.5</v>
      </c>
      <c r="H104" s="32">
        <f t="shared" ref="H104:I104" si="44">H105+H107</f>
        <v>6923.9</v>
      </c>
      <c r="I104" s="32">
        <f t="shared" si="44"/>
        <v>7371.2</v>
      </c>
      <c r="J104" s="278"/>
    </row>
    <row r="105" spans="1:11" s="3" customFormat="1" ht="94.5" customHeight="1" x14ac:dyDescent="0.3">
      <c r="A105" s="139" t="s">
        <v>234</v>
      </c>
      <c r="B105" s="295" t="s">
        <v>145</v>
      </c>
      <c r="C105" s="31" t="s">
        <v>10</v>
      </c>
      <c r="D105" s="31" t="s">
        <v>144</v>
      </c>
      <c r="E105" s="31" t="s">
        <v>146</v>
      </c>
      <c r="F105" s="29"/>
      <c r="G105" s="55">
        <f>G106</f>
        <v>4276.1000000000004</v>
      </c>
      <c r="H105" s="55">
        <f t="shared" ref="H105:I105" si="45">H106</f>
        <v>4506.8</v>
      </c>
      <c r="I105" s="55">
        <f t="shared" si="45"/>
        <v>4745.8999999999996</v>
      </c>
      <c r="J105" s="162"/>
      <c r="K105" s="296"/>
    </row>
    <row r="106" spans="1:11" ht="18.75" x14ac:dyDescent="0.3">
      <c r="A106" s="71" t="s">
        <v>304</v>
      </c>
      <c r="B106" s="24" t="s">
        <v>141</v>
      </c>
      <c r="C106" s="28" t="s">
        <v>10</v>
      </c>
      <c r="D106" s="21" t="s">
        <v>144</v>
      </c>
      <c r="E106" s="21" t="s">
        <v>146</v>
      </c>
      <c r="F106" s="21" t="s">
        <v>142</v>
      </c>
      <c r="G106" s="22">
        <v>4276.1000000000004</v>
      </c>
      <c r="H106" s="172">
        <v>4506.8</v>
      </c>
      <c r="I106" s="172">
        <v>4745.8999999999996</v>
      </c>
    </row>
    <row r="107" spans="1:11" s="3" customFormat="1" ht="73.5" customHeight="1" x14ac:dyDescent="0.3">
      <c r="A107" s="139" t="s">
        <v>236</v>
      </c>
      <c r="B107" s="45" t="s">
        <v>147</v>
      </c>
      <c r="C107" s="43" t="s">
        <v>10</v>
      </c>
      <c r="D107" s="31" t="s">
        <v>144</v>
      </c>
      <c r="E107" s="31" t="s">
        <v>148</v>
      </c>
      <c r="F107" s="31"/>
      <c r="G107" s="32">
        <f>G108</f>
        <v>2293.4</v>
      </c>
      <c r="H107" s="32">
        <f t="shared" ref="H107:I107" si="46">H108</f>
        <v>2417.1</v>
      </c>
      <c r="I107" s="32">
        <f t="shared" si="46"/>
        <v>2625.3</v>
      </c>
      <c r="J107" s="162"/>
    </row>
    <row r="108" spans="1:11" ht="18.75" x14ac:dyDescent="0.3">
      <c r="A108" s="71" t="s">
        <v>305</v>
      </c>
      <c r="B108" s="24" t="s">
        <v>141</v>
      </c>
      <c r="C108" s="28" t="s">
        <v>10</v>
      </c>
      <c r="D108" s="21" t="s">
        <v>144</v>
      </c>
      <c r="E108" s="21" t="s">
        <v>148</v>
      </c>
      <c r="F108" s="21" t="s">
        <v>142</v>
      </c>
      <c r="G108" s="22">
        <v>2293.4</v>
      </c>
      <c r="H108" s="172">
        <v>2417.1</v>
      </c>
      <c r="I108" s="172">
        <v>2625.3</v>
      </c>
    </row>
    <row r="109" spans="1:11" s="3" customFormat="1" ht="20.25" x14ac:dyDescent="0.3">
      <c r="A109" s="348" t="s">
        <v>237</v>
      </c>
      <c r="B109" s="330" t="s">
        <v>886</v>
      </c>
      <c r="C109" s="43" t="s">
        <v>10</v>
      </c>
      <c r="D109" s="31" t="s">
        <v>173</v>
      </c>
      <c r="E109" s="31"/>
      <c r="F109" s="31"/>
      <c r="G109" s="32">
        <f>G110</f>
        <v>40</v>
      </c>
      <c r="H109" s="32" t="str">
        <f t="shared" ref="H109:I111" si="47">H110</f>
        <v>58,7</v>
      </c>
      <c r="I109" s="32">
        <f t="shared" si="47"/>
        <v>64.900000000000006</v>
      </c>
      <c r="J109" s="162"/>
    </row>
    <row r="110" spans="1:11" s="3" customFormat="1" ht="20.25" x14ac:dyDescent="0.3">
      <c r="A110" s="348" t="s">
        <v>238</v>
      </c>
      <c r="B110" s="52" t="s">
        <v>887</v>
      </c>
      <c r="C110" s="43" t="s">
        <v>10</v>
      </c>
      <c r="D110" s="31" t="s">
        <v>174</v>
      </c>
      <c r="E110" s="31"/>
      <c r="F110" s="31"/>
      <c r="G110" s="32">
        <f>G111</f>
        <v>40</v>
      </c>
      <c r="H110" s="32" t="str">
        <f t="shared" si="47"/>
        <v>58,7</v>
      </c>
      <c r="I110" s="32">
        <f t="shared" si="47"/>
        <v>64.900000000000006</v>
      </c>
      <c r="J110" s="162"/>
    </row>
    <row r="111" spans="1:11" ht="148.5" customHeight="1" x14ac:dyDescent="0.3">
      <c r="A111" s="348" t="s">
        <v>239</v>
      </c>
      <c r="B111" s="293" t="s">
        <v>176</v>
      </c>
      <c r="C111" s="43" t="s">
        <v>10</v>
      </c>
      <c r="D111" s="31" t="s">
        <v>174</v>
      </c>
      <c r="E111" s="31" t="s">
        <v>175</v>
      </c>
      <c r="F111" s="31"/>
      <c r="G111" s="32">
        <f>G112</f>
        <v>40</v>
      </c>
      <c r="H111" s="32" t="str">
        <f t="shared" si="47"/>
        <v>58,7</v>
      </c>
      <c r="I111" s="32">
        <f t="shared" si="47"/>
        <v>64.900000000000006</v>
      </c>
    </row>
    <row r="112" spans="1:11" ht="37.5" x14ac:dyDescent="0.3">
      <c r="A112" s="350" t="s">
        <v>306</v>
      </c>
      <c r="B112" s="26" t="s">
        <v>46</v>
      </c>
      <c r="C112" s="28" t="s">
        <v>10</v>
      </c>
      <c r="D112" s="21" t="s">
        <v>174</v>
      </c>
      <c r="E112" s="21" t="s">
        <v>175</v>
      </c>
      <c r="F112" s="21" t="s">
        <v>47</v>
      </c>
      <c r="G112" s="22">
        <v>40</v>
      </c>
      <c r="H112" s="18" t="s">
        <v>412</v>
      </c>
      <c r="I112" s="108">
        <v>64.900000000000006</v>
      </c>
    </row>
    <row r="113" spans="1:10" ht="81" x14ac:dyDescent="0.3">
      <c r="A113" s="351" t="s">
        <v>149</v>
      </c>
      <c r="B113" s="49" t="s">
        <v>150</v>
      </c>
      <c r="C113" s="15" t="s">
        <v>151</v>
      </c>
      <c r="D113" s="48"/>
      <c r="E113" s="48"/>
      <c r="F113" s="48"/>
      <c r="G113" s="17">
        <f>G114+G132</f>
        <v>11145.8</v>
      </c>
      <c r="H113" s="17">
        <f t="shared" ref="H113:I113" si="48">H114+H132</f>
        <v>11060.000000000002</v>
      </c>
      <c r="I113" s="17">
        <f t="shared" si="48"/>
        <v>11513.600000000002</v>
      </c>
      <c r="J113" s="161" t="s">
        <v>851</v>
      </c>
    </row>
    <row r="114" spans="1:10" ht="20.25" x14ac:dyDescent="0.3">
      <c r="A114" s="348" t="s">
        <v>30</v>
      </c>
      <c r="B114" s="16" t="s">
        <v>31</v>
      </c>
      <c r="C114" s="15" t="s">
        <v>151</v>
      </c>
      <c r="D114" s="15" t="s">
        <v>32</v>
      </c>
      <c r="E114" s="15"/>
      <c r="F114" s="15"/>
      <c r="G114" s="17">
        <f>G115+G118+G127</f>
        <v>9102.5</v>
      </c>
      <c r="H114" s="17">
        <f t="shared" ref="H114:I114" si="49">H115+H118+H127</f>
        <v>8467.1000000000022</v>
      </c>
      <c r="I114" s="17">
        <f t="shared" si="49"/>
        <v>8783.3000000000011</v>
      </c>
      <c r="J114" s="161" t="s">
        <v>851</v>
      </c>
    </row>
    <row r="115" spans="1:10" ht="59.25" customHeight="1" x14ac:dyDescent="0.3">
      <c r="A115" s="241" t="s">
        <v>33</v>
      </c>
      <c r="B115" s="133" t="s">
        <v>152</v>
      </c>
      <c r="C115" s="31" t="s">
        <v>151</v>
      </c>
      <c r="D115" s="31" t="s">
        <v>153</v>
      </c>
      <c r="E115" s="31"/>
      <c r="F115" s="31"/>
      <c r="G115" s="55">
        <f>G116</f>
        <v>1117.7</v>
      </c>
      <c r="H115" s="55">
        <f t="shared" ref="H115:I116" si="50">H116</f>
        <v>1015.6</v>
      </c>
      <c r="I115" s="55">
        <f t="shared" si="50"/>
        <v>1046.8</v>
      </c>
    </row>
    <row r="116" spans="1:10" ht="35.25" customHeight="1" x14ac:dyDescent="0.3">
      <c r="A116" s="241" t="s">
        <v>1</v>
      </c>
      <c r="B116" s="288" t="s">
        <v>154</v>
      </c>
      <c r="C116" s="31" t="s">
        <v>151</v>
      </c>
      <c r="D116" s="31" t="s">
        <v>153</v>
      </c>
      <c r="E116" s="31" t="s">
        <v>155</v>
      </c>
      <c r="F116" s="31"/>
      <c r="G116" s="32">
        <f>G117</f>
        <v>1117.7</v>
      </c>
      <c r="H116" s="32">
        <f t="shared" si="50"/>
        <v>1015.6</v>
      </c>
      <c r="I116" s="32">
        <f t="shared" si="50"/>
        <v>1046.8</v>
      </c>
    </row>
    <row r="117" spans="1:10" ht="72" customHeight="1" x14ac:dyDescent="0.3">
      <c r="A117" s="237" t="s">
        <v>2</v>
      </c>
      <c r="B117" s="27" t="s">
        <v>39</v>
      </c>
      <c r="C117" s="21" t="s">
        <v>151</v>
      </c>
      <c r="D117" s="21" t="s">
        <v>153</v>
      </c>
      <c r="E117" s="21" t="s">
        <v>155</v>
      </c>
      <c r="F117" s="21" t="s">
        <v>40</v>
      </c>
      <c r="G117" s="22">
        <f>780+235.6+78.4+23.7</f>
        <v>1117.7</v>
      </c>
      <c r="H117" s="172">
        <f>780+235.6</f>
        <v>1015.6</v>
      </c>
      <c r="I117" s="172">
        <f>780+266.8</f>
        <v>1046.8</v>
      </c>
    </row>
    <row r="118" spans="1:10" ht="56.25" customHeight="1" x14ac:dyDescent="0.3">
      <c r="A118" s="139" t="s">
        <v>41</v>
      </c>
      <c r="B118" s="50" t="s">
        <v>156</v>
      </c>
      <c r="C118" s="31" t="s">
        <v>151</v>
      </c>
      <c r="D118" s="29" t="s">
        <v>157</v>
      </c>
      <c r="E118" s="29"/>
      <c r="F118" s="29"/>
      <c r="G118" s="55">
        <f>G123+G121+G119</f>
        <v>7842.3</v>
      </c>
      <c r="H118" s="55">
        <f t="shared" ref="H118:I118" si="51">H123+H121+H119</f>
        <v>7339.8000000000011</v>
      </c>
      <c r="I118" s="55">
        <f t="shared" si="51"/>
        <v>7623.4000000000015</v>
      </c>
    </row>
    <row r="119" spans="1:10" ht="34.5" customHeight="1" x14ac:dyDescent="0.3">
      <c r="A119" s="139" t="s">
        <v>44</v>
      </c>
      <c r="B119" s="50" t="s">
        <v>158</v>
      </c>
      <c r="C119" s="31" t="s">
        <v>151</v>
      </c>
      <c r="D119" s="29" t="s">
        <v>157</v>
      </c>
      <c r="E119" s="29" t="s">
        <v>159</v>
      </c>
      <c r="F119" s="29"/>
      <c r="G119" s="55">
        <f>G120</f>
        <v>778.2</v>
      </c>
      <c r="H119" s="55">
        <f t="shared" ref="H119:I119" si="52">H120</f>
        <v>675.40000000000009</v>
      </c>
      <c r="I119" s="55">
        <f t="shared" si="52"/>
        <v>696.1</v>
      </c>
    </row>
    <row r="120" spans="1:10" ht="113.25" customHeight="1" x14ac:dyDescent="0.3">
      <c r="A120" s="71" t="s">
        <v>62</v>
      </c>
      <c r="B120" s="25" t="s">
        <v>160</v>
      </c>
      <c r="C120" s="21" t="s">
        <v>151</v>
      </c>
      <c r="D120" s="18" t="s">
        <v>157</v>
      </c>
      <c r="E120" s="18" t="s">
        <v>159</v>
      </c>
      <c r="F120" s="18" t="s">
        <v>40</v>
      </c>
      <c r="G120" s="101">
        <f>518.7+156.7+78.9+23.9</f>
        <v>778.2</v>
      </c>
      <c r="H120" s="108">
        <f>518.7+156.7</f>
        <v>675.40000000000009</v>
      </c>
      <c r="I120" s="108">
        <f>518.7+177.4</f>
        <v>696.1</v>
      </c>
    </row>
    <row r="121" spans="1:10" ht="37.5" x14ac:dyDescent="0.3">
      <c r="A121" s="139" t="s">
        <v>45</v>
      </c>
      <c r="B121" s="50" t="s">
        <v>161</v>
      </c>
      <c r="C121" s="31" t="s">
        <v>151</v>
      </c>
      <c r="D121" s="29" t="s">
        <v>157</v>
      </c>
      <c r="E121" s="29" t="s">
        <v>162</v>
      </c>
      <c r="F121" s="29"/>
      <c r="G121" s="55">
        <f>G122</f>
        <v>93.6</v>
      </c>
      <c r="H121" s="55">
        <f t="shared" ref="H121:I121" si="53">H122</f>
        <v>93.6</v>
      </c>
      <c r="I121" s="55">
        <f t="shared" si="53"/>
        <v>93.6</v>
      </c>
    </row>
    <row r="122" spans="1:10" ht="73.5" customHeight="1" x14ac:dyDescent="0.3">
      <c r="A122" s="71" t="s">
        <v>288</v>
      </c>
      <c r="B122" s="27" t="s">
        <v>39</v>
      </c>
      <c r="C122" s="21" t="s">
        <v>151</v>
      </c>
      <c r="D122" s="18" t="s">
        <v>157</v>
      </c>
      <c r="E122" s="18" t="s">
        <v>162</v>
      </c>
      <c r="F122" s="18" t="s">
        <v>40</v>
      </c>
      <c r="G122" s="101">
        <v>93.6</v>
      </c>
      <c r="H122" s="108">
        <v>93.6</v>
      </c>
      <c r="I122" s="108">
        <v>93.6</v>
      </c>
    </row>
    <row r="123" spans="1:10" ht="36" customHeight="1" x14ac:dyDescent="0.3">
      <c r="A123" s="139" t="s">
        <v>48</v>
      </c>
      <c r="B123" s="50" t="s">
        <v>163</v>
      </c>
      <c r="C123" s="31" t="s">
        <v>151</v>
      </c>
      <c r="D123" s="29" t="s">
        <v>157</v>
      </c>
      <c r="E123" s="29" t="s">
        <v>164</v>
      </c>
      <c r="F123" s="29"/>
      <c r="G123" s="55">
        <f>G124+G125+G126</f>
        <v>6970.5</v>
      </c>
      <c r="H123" s="55">
        <f t="shared" ref="H123:I123" si="54">H124+H125+H126</f>
        <v>6570.8</v>
      </c>
      <c r="I123" s="55">
        <f t="shared" si="54"/>
        <v>6833.7000000000007</v>
      </c>
    </row>
    <row r="124" spans="1:10" ht="75" customHeight="1" x14ac:dyDescent="0.3">
      <c r="A124" s="71" t="s">
        <v>307</v>
      </c>
      <c r="B124" s="27" t="s">
        <v>39</v>
      </c>
      <c r="C124" s="21" t="s">
        <v>151</v>
      </c>
      <c r="D124" s="18" t="s">
        <v>157</v>
      </c>
      <c r="E124" s="18" t="s">
        <v>164</v>
      </c>
      <c r="F124" s="18" t="s">
        <v>40</v>
      </c>
      <c r="G124" s="101">
        <f>2974+898.2+165.8+50.1</f>
        <v>4088.1</v>
      </c>
      <c r="H124" s="101">
        <f>2974+898.2</f>
        <v>3872.2</v>
      </c>
      <c r="I124" s="172">
        <f>2974+1017.1</f>
        <v>3991.1</v>
      </c>
    </row>
    <row r="125" spans="1:10" ht="37.5" x14ac:dyDescent="0.3">
      <c r="A125" s="71" t="s">
        <v>308</v>
      </c>
      <c r="B125" s="26" t="s">
        <v>46</v>
      </c>
      <c r="C125" s="21" t="s">
        <v>151</v>
      </c>
      <c r="D125" s="18" t="s">
        <v>157</v>
      </c>
      <c r="E125" s="18" t="s">
        <v>164</v>
      </c>
      <c r="F125" s="18" t="s">
        <v>47</v>
      </c>
      <c r="G125" s="19">
        <v>2866.3</v>
      </c>
      <c r="H125" s="19">
        <f>7.8+350.5+587.9+676.3+262.7+22.3+541+42+192</f>
        <v>2682.5</v>
      </c>
      <c r="I125" s="101">
        <f>2826.5</f>
        <v>2826.5</v>
      </c>
      <c r="J125" s="163"/>
    </row>
    <row r="126" spans="1:10" ht="18.75" x14ac:dyDescent="0.3">
      <c r="A126" s="71" t="s">
        <v>309</v>
      </c>
      <c r="B126" s="24" t="s">
        <v>49</v>
      </c>
      <c r="C126" s="21" t="s">
        <v>151</v>
      </c>
      <c r="D126" s="18" t="s">
        <v>157</v>
      </c>
      <c r="E126" s="18" t="s">
        <v>164</v>
      </c>
      <c r="F126" s="18" t="s">
        <v>50</v>
      </c>
      <c r="G126" s="19">
        <v>16.100000000000001</v>
      </c>
      <c r="H126" s="108">
        <v>16.100000000000001</v>
      </c>
      <c r="I126" s="108">
        <v>16.100000000000001</v>
      </c>
    </row>
    <row r="127" spans="1:10" ht="40.5" x14ac:dyDescent="0.3">
      <c r="A127" s="241" t="s">
        <v>8</v>
      </c>
      <c r="B127" s="33" t="s">
        <v>63</v>
      </c>
      <c r="C127" s="34" t="s">
        <v>151</v>
      </c>
      <c r="D127" s="13" t="s">
        <v>64</v>
      </c>
      <c r="E127" s="13"/>
      <c r="F127" s="13"/>
      <c r="G127" s="55">
        <f>G130+G128</f>
        <v>142.5</v>
      </c>
      <c r="H127" s="55">
        <f t="shared" ref="H127:I127" si="55">H130+H128</f>
        <v>111.7</v>
      </c>
      <c r="I127" s="55">
        <f t="shared" si="55"/>
        <v>113.1</v>
      </c>
    </row>
    <row r="128" spans="1:10" s="10" customFormat="1" ht="18.75" x14ac:dyDescent="0.3">
      <c r="A128" s="241" t="s">
        <v>65</v>
      </c>
      <c r="B128" s="297" t="s">
        <v>275</v>
      </c>
      <c r="C128" s="43" t="s">
        <v>151</v>
      </c>
      <c r="D128" s="29" t="s">
        <v>64</v>
      </c>
      <c r="E128" s="29" t="s">
        <v>276</v>
      </c>
      <c r="F128" s="29"/>
      <c r="G128" s="55">
        <f>G129</f>
        <v>26.2</v>
      </c>
      <c r="H128" s="55">
        <f t="shared" ref="H128:I128" si="56">H129</f>
        <v>27.7</v>
      </c>
      <c r="I128" s="55">
        <f t="shared" si="56"/>
        <v>29.1</v>
      </c>
      <c r="J128" s="163"/>
    </row>
    <row r="129" spans="1:14" s="10" customFormat="1" ht="37.5" x14ac:dyDescent="0.3">
      <c r="A129" s="237" t="s">
        <v>68</v>
      </c>
      <c r="B129" s="26" t="s">
        <v>46</v>
      </c>
      <c r="C129" s="61" t="s">
        <v>151</v>
      </c>
      <c r="D129" s="62" t="s">
        <v>64</v>
      </c>
      <c r="E129" s="18" t="s">
        <v>276</v>
      </c>
      <c r="F129" s="18" t="s">
        <v>47</v>
      </c>
      <c r="G129" s="19">
        <v>26.2</v>
      </c>
      <c r="H129" s="108">
        <v>27.7</v>
      </c>
      <c r="I129" s="108">
        <v>29.1</v>
      </c>
      <c r="J129" s="163"/>
    </row>
    <row r="130" spans="1:14" ht="57.75" customHeight="1" x14ac:dyDescent="0.3">
      <c r="A130" s="241" t="s">
        <v>69</v>
      </c>
      <c r="B130" s="298" t="s">
        <v>253</v>
      </c>
      <c r="C130" s="43" t="s">
        <v>151</v>
      </c>
      <c r="D130" s="29" t="s">
        <v>64</v>
      </c>
      <c r="E130" s="29" t="s">
        <v>165</v>
      </c>
      <c r="F130" s="29"/>
      <c r="G130" s="55">
        <f>G131</f>
        <v>116.3</v>
      </c>
      <c r="H130" s="55">
        <f t="shared" ref="H130:I130" si="57">H131</f>
        <v>84</v>
      </c>
      <c r="I130" s="55">
        <f t="shared" si="57"/>
        <v>84</v>
      </c>
      <c r="J130" s="163" t="s">
        <v>851</v>
      </c>
    </row>
    <row r="131" spans="1:14" ht="18.75" x14ac:dyDescent="0.3">
      <c r="A131" s="237" t="s">
        <v>72</v>
      </c>
      <c r="B131" s="24" t="s">
        <v>49</v>
      </c>
      <c r="C131" s="28" t="s">
        <v>151</v>
      </c>
      <c r="D131" s="18" t="s">
        <v>64</v>
      </c>
      <c r="E131" s="18" t="s">
        <v>165</v>
      </c>
      <c r="F131" s="18" t="s">
        <v>50</v>
      </c>
      <c r="G131" s="22">
        <f>84+J131</f>
        <v>116.3</v>
      </c>
      <c r="H131" s="172">
        <v>84</v>
      </c>
      <c r="I131" s="172">
        <v>84</v>
      </c>
      <c r="J131" s="233">
        <v>32.299999999999997</v>
      </c>
    </row>
    <row r="132" spans="1:14" ht="20.25" x14ac:dyDescent="0.3">
      <c r="A132" s="348" t="s">
        <v>14</v>
      </c>
      <c r="B132" s="46" t="s">
        <v>166</v>
      </c>
      <c r="C132" s="41" t="s">
        <v>151</v>
      </c>
      <c r="D132" s="15" t="s">
        <v>167</v>
      </c>
      <c r="E132" s="42"/>
      <c r="F132" s="15"/>
      <c r="G132" s="32">
        <f>G133</f>
        <v>2043.3</v>
      </c>
      <c r="H132" s="32" t="str">
        <f t="shared" ref="H132:I133" si="58">H133</f>
        <v>2592,9</v>
      </c>
      <c r="I132" s="32">
        <f t="shared" si="58"/>
        <v>2730.3</v>
      </c>
    </row>
    <row r="133" spans="1:14" ht="20.25" customHeight="1" x14ac:dyDescent="0.3">
      <c r="A133" s="237" t="s">
        <v>12</v>
      </c>
      <c r="B133" s="50" t="s">
        <v>168</v>
      </c>
      <c r="C133" s="43" t="s">
        <v>151</v>
      </c>
      <c r="D133" s="31" t="s">
        <v>169</v>
      </c>
      <c r="E133" s="31"/>
      <c r="F133" s="31"/>
      <c r="G133" s="32">
        <f>G134</f>
        <v>2043.3</v>
      </c>
      <c r="H133" s="32" t="str">
        <f t="shared" si="58"/>
        <v>2592,9</v>
      </c>
      <c r="I133" s="32">
        <f t="shared" si="58"/>
        <v>2730.3</v>
      </c>
    </row>
    <row r="134" spans="1:14" s="10" customFormat="1" ht="203.25" customHeight="1" x14ac:dyDescent="0.3">
      <c r="A134" s="241" t="s">
        <v>15</v>
      </c>
      <c r="B134" s="30" t="s">
        <v>170</v>
      </c>
      <c r="C134" s="43" t="s">
        <v>151</v>
      </c>
      <c r="D134" s="31" t="s">
        <v>169</v>
      </c>
      <c r="E134" s="31" t="s">
        <v>171</v>
      </c>
      <c r="F134" s="31"/>
      <c r="G134" s="32">
        <f>G135</f>
        <v>2043.3</v>
      </c>
      <c r="H134" s="32" t="str">
        <f>H135</f>
        <v>2592,9</v>
      </c>
      <c r="I134" s="32">
        <f>I135</f>
        <v>2730.3</v>
      </c>
      <c r="J134" s="163"/>
    </row>
    <row r="135" spans="1:14" s="10" customFormat="1" ht="35.25" customHeight="1" x14ac:dyDescent="0.3">
      <c r="A135" s="237" t="s">
        <v>13</v>
      </c>
      <c r="B135" s="26" t="s">
        <v>46</v>
      </c>
      <c r="C135" s="28" t="s">
        <v>151</v>
      </c>
      <c r="D135" s="21" t="s">
        <v>169</v>
      </c>
      <c r="E135" s="21" t="s">
        <v>171</v>
      </c>
      <c r="F135" s="21" t="s">
        <v>47</v>
      </c>
      <c r="G135" s="22">
        <v>2043.3</v>
      </c>
      <c r="H135" s="19" t="s">
        <v>411</v>
      </c>
      <c r="I135" s="225">
        <v>2730.3</v>
      </c>
      <c r="J135" s="163"/>
    </row>
    <row r="136" spans="1:14" s="10" customFormat="1" ht="40.5" customHeight="1" x14ac:dyDescent="0.3">
      <c r="A136" s="348" t="s">
        <v>446</v>
      </c>
      <c r="B136" s="115" t="s">
        <v>447</v>
      </c>
      <c r="C136" s="41" t="s">
        <v>448</v>
      </c>
      <c r="D136" s="15"/>
      <c r="E136" s="42"/>
      <c r="F136" s="15"/>
      <c r="G136" s="17">
        <f t="shared" ref="G136:I137" si="59">G137</f>
        <v>0</v>
      </c>
      <c r="H136" s="17">
        <f t="shared" si="59"/>
        <v>2469.9</v>
      </c>
      <c r="I136" s="17">
        <f t="shared" si="59"/>
        <v>0</v>
      </c>
      <c r="J136" s="163"/>
    </row>
    <row r="137" spans="1:14" s="10" customFormat="1" ht="19.5" customHeight="1" x14ac:dyDescent="0.3">
      <c r="A137" s="348" t="s">
        <v>449</v>
      </c>
      <c r="B137" s="46" t="s">
        <v>31</v>
      </c>
      <c r="C137" s="41" t="s">
        <v>448</v>
      </c>
      <c r="D137" s="15" t="s">
        <v>32</v>
      </c>
      <c r="E137" s="42"/>
      <c r="F137" s="15"/>
      <c r="G137" s="17">
        <f t="shared" si="59"/>
        <v>0</v>
      </c>
      <c r="H137" s="17">
        <f t="shared" si="59"/>
        <v>2469.9</v>
      </c>
      <c r="I137" s="17">
        <f t="shared" si="59"/>
        <v>0</v>
      </c>
      <c r="J137" s="163"/>
    </row>
    <row r="138" spans="1:14" s="10" customFormat="1" ht="36" customHeight="1" x14ac:dyDescent="0.3">
      <c r="A138" s="241" t="s">
        <v>310</v>
      </c>
      <c r="B138" s="299" t="s">
        <v>450</v>
      </c>
      <c r="C138" s="43" t="s">
        <v>448</v>
      </c>
      <c r="D138" s="31" t="s">
        <v>451</v>
      </c>
      <c r="E138" s="44"/>
      <c r="F138" s="31"/>
      <c r="G138" s="32">
        <f>G139+G141</f>
        <v>0</v>
      </c>
      <c r="H138" s="32">
        <f>H139+H141</f>
        <v>2469.9</v>
      </c>
      <c r="I138" s="32">
        <f>I139+I141</f>
        <v>0</v>
      </c>
      <c r="J138" s="163"/>
    </row>
    <row r="139" spans="1:14" ht="35.25" customHeight="1" x14ac:dyDescent="0.3">
      <c r="A139" s="241" t="s">
        <v>289</v>
      </c>
      <c r="B139" s="299" t="s">
        <v>452</v>
      </c>
      <c r="C139" s="43" t="s">
        <v>448</v>
      </c>
      <c r="D139" s="31" t="s">
        <v>451</v>
      </c>
      <c r="E139" s="44" t="s">
        <v>453</v>
      </c>
      <c r="F139" s="31"/>
      <c r="G139" s="32">
        <f>G140</f>
        <v>0</v>
      </c>
      <c r="H139" s="32">
        <f>H140</f>
        <v>1995.7</v>
      </c>
      <c r="I139" s="32">
        <f>I140</f>
        <v>0</v>
      </c>
    </row>
    <row r="140" spans="1:14" ht="74.25" customHeight="1" x14ac:dyDescent="0.3">
      <c r="A140" s="237" t="s">
        <v>454</v>
      </c>
      <c r="B140" s="27" t="s">
        <v>39</v>
      </c>
      <c r="C140" s="28" t="s">
        <v>448</v>
      </c>
      <c r="D140" s="21" t="s">
        <v>451</v>
      </c>
      <c r="E140" s="39" t="s">
        <v>453</v>
      </c>
      <c r="F140" s="21" t="s">
        <v>40</v>
      </c>
      <c r="G140" s="22">
        <v>0</v>
      </c>
      <c r="H140" s="22">
        <f>959.8+1035.9</f>
        <v>1995.7</v>
      </c>
      <c r="I140" s="22">
        <v>0</v>
      </c>
    </row>
    <row r="141" spans="1:14" ht="35.25" customHeight="1" x14ac:dyDescent="0.3">
      <c r="A141" s="241" t="s">
        <v>462</v>
      </c>
      <c r="B141" s="30" t="s">
        <v>461</v>
      </c>
      <c r="C141" s="43" t="s">
        <v>448</v>
      </c>
      <c r="D141" s="31" t="s">
        <v>451</v>
      </c>
      <c r="E141" s="44" t="s">
        <v>460</v>
      </c>
      <c r="F141" s="31"/>
      <c r="G141" s="32">
        <f>G142+G143</f>
        <v>0</v>
      </c>
      <c r="H141" s="32">
        <f t="shared" ref="H141:I141" si="60">H142+H143</f>
        <v>474.2</v>
      </c>
      <c r="I141" s="32">
        <f t="shared" si="60"/>
        <v>0</v>
      </c>
    </row>
    <row r="142" spans="1:14" ht="35.25" customHeight="1" x14ac:dyDescent="0.3">
      <c r="A142" s="237" t="s">
        <v>463</v>
      </c>
      <c r="B142" s="26" t="s">
        <v>46</v>
      </c>
      <c r="C142" s="28" t="s">
        <v>448</v>
      </c>
      <c r="D142" s="21" t="s">
        <v>451</v>
      </c>
      <c r="E142" s="39" t="s">
        <v>460</v>
      </c>
      <c r="F142" s="21" t="s">
        <v>47</v>
      </c>
      <c r="G142" s="22">
        <v>0</v>
      </c>
      <c r="H142" s="22">
        <v>470.2</v>
      </c>
      <c r="I142" s="22">
        <v>0</v>
      </c>
    </row>
    <row r="143" spans="1:14" ht="22.5" customHeight="1" x14ac:dyDescent="0.3">
      <c r="A143" s="237" t="s">
        <v>464</v>
      </c>
      <c r="B143" s="25" t="s">
        <v>49</v>
      </c>
      <c r="C143" s="28" t="s">
        <v>448</v>
      </c>
      <c r="D143" s="21" t="s">
        <v>451</v>
      </c>
      <c r="E143" s="39" t="s">
        <v>460</v>
      </c>
      <c r="F143" s="18" t="s">
        <v>50</v>
      </c>
      <c r="G143" s="22">
        <v>0</v>
      </c>
      <c r="H143" s="19">
        <v>4</v>
      </c>
      <c r="I143" s="22">
        <v>0</v>
      </c>
    </row>
    <row r="144" spans="1:14" s="51" customFormat="1" ht="18.75" x14ac:dyDescent="0.3">
      <c r="A144" s="352"/>
      <c r="B144" s="133" t="s">
        <v>172</v>
      </c>
      <c r="C144" s="29"/>
      <c r="D144" s="180"/>
      <c r="E144" s="180"/>
      <c r="F144" s="180"/>
      <c r="G144" s="124">
        <f>G113+G12</f>
        <v>75392.900000000009</v>
      </c>
      <c r="H144" s="124">
        <f>H113+H12+H136</f>
        <v>74241.2</v>
      </c>
      <c r="I144" s="124">
        <f>I113+I12</f>
        <v>80153.8</v>
      </c>
      <c r="J144" s="168"/>
      <c r="K144" s="311"/>
      <c r="L144" s="77"/>
      <c r="M144" s="77"/>
      <c r="N144" s="77"/>
    </row>
    <row r="145" spans="6:18" x14ac:dyDescent="0.25">
      <c r="J145" s="169">
        <f>SUM(J12:J144)</f>
        <v>795.9</v>
      </c>
      <c r="K145" s="161">
        <f>SUM(K12:K144)</f>
        <v>0</v>
      </c>
      <c r="R145" s="76"/>
    </row>
    <row r="146" spans="6:18" ht="18.75" x14ac:dyDescent="0.3">
      <c r="F146" s="116" t="s">
        <v>826</v>
      </c>
      <c r="G146" s="164">
        <v>74501</v>
      </c>
      <c r="R146" s="76"/>
    </row>
    <row r="147" spans="6:18" ht="18.75" x14ac:dyDescent="0.3">
      <c r="F147" s="116" t="s">
        <v>825</v>
      </c>
      <c r="G147" s="165">
        <f>G144-G146</f>
        <v>891.90000000000873</v>
      </c>
    </row>
    <row r="148" spans="6:18" x14ac:dyDescent="0.25">
      <c r="G148" s="103"/>
    </row>
    <row r="149" spans="6:18" x14ac:dyDescent="0.25">
      <c r="H149" s="125">
        <f>H144-H108-H106-H23-H21</f>
        <v>64901.699999999983</v>
      </c>
      <c r="I149" s="125">
        <f>I144-I108-I106-I23-I21</f>
        <v>70288.200000000012</v>
      </c>
    </row>
    <row r="150" spans="6:18" x14ac:dyDescent="0.25">
      <c r="G150" s="102" t="s">
        <v>445</v>
      </c>
      <c r="H150" s="116">
        <f>H149*0.025</f>
        <v>1622.5424999999996</v>
      </c>
      <c r="I150" s="117">
        <f>I149*0.05</f>
        <v>3514.4100000000008</v>
      </c>
    </row>
    <row r="151" spans="6:18" x14ac:dyDescent="0.25">
      <c r="G151" s="103"/>
      <c r="K151" s="76"/>
    </row>
  </sheetData>
  <mergeCells count="10">
    <mergeCell ref="G4:I4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45" fitToHeight="0" orientation="portrait" r:id="rId1"/>
  <rowBreaks count="1" manualBreakCount="1"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  <pageSetUpPr fitToPage="1"/>
  </sheetPr>
  <dimension ref="A1:T155"/>
  <sheetViews>
    <sheetView view="pageBreakPreview" zoomScale="70" zoomScaleNormal="70" zoomScaleSheetLayoutView="70" zoomScalePageLayoutView="40" workbookViewId="0">
      <selection activeCell="A6" sqref="A6:H6"/>
    </sheetView>
  </sheetViews>
  <sheetFormatPr defaultColWidth="9.140625" defaultRowHeight="12.75" x14ac:dyDescent="0.2"/>
  <cols>
    <col min="1" max="1" width="13" style="200" customWidth="1"/>
    <col min="2" max="2" width="71.42578125" style="209" customWidth="1"/>
    <col min="3" max="3" width="15" style="174" customWidth="1"/>
    <col min="4" max="4" width="17.85546875" style="188" customWidth="1"/>
    <col min="5" max="5" width="15.140625" style="174" customWidth="1"/>
    <col min="6" max="8" width="16.5703125" style="106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96"/>
      <c r="B1" s="201"/>
      <c r="C1" s="9"/>
      <c r="D1" s="181"/>
      <c r="E1" s="106"/>
      <c r="F1" s="331"/>
      <c r="G1" s="331"/>
      <c r="H1" s="319" t="s">
        <v>180</v>
      </c>
    </row>
    <row r="2" spans="1:8" ht="20.100000000000001" customHeight="1" x14ac:dyDescent="0.35">
      <c r="A2" s="197"/>
      <c r="B2" s="201"/>
      <c r="C2" s="9"/>
      <c r="D2" s="181"/>
      <c r="E2" s="106"/>
      <c r="F2" s="331"/>
      <c r="G2" s="331"/>
      <c r="H2" s="416" t="s">
        <v>19</v>
      </c>
    </row>
    <row r="3" spans="1:8" ht="20.100000000000001" customHeight="1" x14ac:dyDescent="0.35">
      <c r="A3" s="197"/>
      <c r="B3" s="202"/>
      <c r="C3" s="182"/>
      <c r="D3" s="183"/>
      <c r="E3" s="415"/>
      <c r="F3" s="331"/>
      <c r="G3" s="331"/>
      <c r="H3" s="416" t="s">
        <v>16</v>
      </c>
    </row>
    <row r="4" spans="1:8" ht="20.100000000000001" customHeight="1" x14ac:dyDescent="0.35">
      <c r="A4" s="197"/>
      <c r="B4" s="203"/>
      <c r="C4" s="184"/>
      <c r="D4" s="181"/>
      <c r="E4" s="106"/>
      <c r="F4" s="414" t="s">
        <v>889</v>
      </c>
      <c r="G4" s="414"/>
      <c r="H4" s="414"/>
    </row>
    <row r="5" spans="1:8" ht="20.100000000000001" customHeight="1" x14ac:dyDescent="0.3">
      <c r="A5" s="197"/>
      <c r="B5" s="203"/>
      <c r="C5" s="184"/>
      <c r="D5" s="181"/>
      <c r="E5" s="106"/>
      <c r="F5" s="319"/>
      <c r="G5" s="319"/>
      <c r="H5" s="319"/>
    </row>
    <row r="6" spans="1:8" ht="45.6" customHeight="1" x14ac:dyDescent="0.2">
      <c r="A6" s="417" t="s">
        <v>407</v>
      </c>
      <c r="B6" s="417"/>
      <c r="C6" s="417"/>
      <c r="D6" s="417"/>
      <c r="E6" s="417"/>
      <c r="F6" s="417"/>
      <c r="G6" s="417"/>
      <c r="H6" s="417"/>
    </row>
    <row r="7" spans="1:8" ht="18.75" customHeight="1" x14ac:dyDescent="0.3">
      <c r="A7" s="198"/>
      <c r="B7" s="118"/>
      <c r="C7" s="185"/>
      <c r="D7" s="185"/>
      <c r="E7" s="185"/>
      <c r="F7" s="185"/>
      <c r="H7" s="80" t="s">
        <v>399</v>
      </c>
    </row>
    <row r="8" spans="1:8" ht="29.25" customHeight="1" x14ac:dyDescent="0.2">
      <c r="A8" s="404" t="s">
        <v>20</v>
      </c>
      <c r="B8" s="404" t="s">
        <v>21</v>
      </c>
      <c r="C8" s="404" t="s">
        <v>406</v>
      </c>
      <c r="D8" s="405" t="s">
        <v>23</v>
      </c>
      <c r="E8" s="404" t="s">
        <v>24</v>
      </c>
      <c r="F8" s="406" t="s">
        <v>395</v>
      </c>
      <c r="G8" s="403" t="s">
        <v>396</v>
      </c>
      <c r="H8" s="403"/>
    </row>
    <row r="9" spans="1:8" ht="24" customHeight="1" x14ac:dyDescent="0.25">
      <c r="A9" s="404"/>
      <c r="B9" s="404"/>
      <c r="C9" s="404"/>
      <c r="D9" s="405"/>
      <c r="E9" s="404"/>
      <c r="F9" s="406"/>
      <c r="G9" s="186" t="s">
        <v>397</v>
      </c>
      <c r="H9" s="186" t="s">
        <v>398</v>
      </c>
    </row>
    <row r="10" spans="1:8" ht="15.75" x14ac:dyDescent="0.25">
      <c r="A10" s="332">
        <v>1</v>
      </c>
      <c r="B10" s="333">
        <v>2</v>
      </c>
      <c r="C10" s="334" t="s">
        <v>25</v>
      </c>
      <c r="D10" s="335">
        <v>4</v>
      </c>
      <c r="E10" s="334" t="s">
        <v>27</v>
      </c>
      <c r="F10" s="336">
        <v>6</v>
      </c>
      <c r="G10" s="187">
        <v>7</v>
      </c>
      <c r="H10" s="187">
        <v>8</v>
      </c>
    </row>
    <row r="11" spans="1:8" s="54" customFormat="1" ht="20.100000000000001" customHeight="1" x14ac:dyDescent="0.3">
      <c r="A11" s="337" t="s">
        <v>30</v>
      </c>
      <c r="B11" s="219" t="s">
        <v>31</v>
      </c>
      <c r="C11" s="29" t="s">
        <v>182</v>
      </c>
      <c r="D11" s="338"/>
      <c r="E11" s="29"/>
      <c r="F11" s="55">
        <f>F12+F15+F24+F42+F45+F36</f>
        <v>37076.200000000004</v>
      </c>
      <c r="G11" s="55">
        <f>G12+G15+G24+G42+G45+G36</f>
        <v>37619.9</v>
      </c>
      <c r="H11" s="55">
        <f>H12+H15+H24+H42+H45+H36</f>
        <v>36321.4</v>
      </c>
    </row>
    <row r="12" spans="1:8" s="54" customFormat="1" ht="36.950000000000003" customHeight="1" x14ac:dyDescent="0.2">
      <c r="A12" s="139" t="s">
        <v>0</v>
      </c>
      <c r="B12" s="219" t="s">
        <v>152</v>
      </c>
      <c r="C12" s="139" t="s">
        <v>183</v>
      </c>
      <c r="D12" s="153"/>
      <c r="E12" s="139"/>
      <c r="F12" s="68">
        <f>F13</f>
        <v>1117.7</v>
      </c>
      <c r="G12" s="68">
        <f t="shared" ref="G12:H12" si="0">G13</f>
        <v>1015.6</v>
      </c>
      <c r="H12" s="68">
        <f t="shared" si="0"/>
        <v>1046.8</v>
      </c>
    </row>
    <row r="13" spans="1:8" s="54" customFormat="1" ht="41.25" customHeight="1" x14ac:dyDescent="0.2">
      <c r="A13" s="139" t="s">
        <v>1</v>
      </c>
      <c r="B13" s="219" t="s">
        <v>154</v>
      </c>
      <c r="C13" s="139" t="s">
        <v>184</v>
      </c>
      <c r="D13" s="153" t="str">
        <f>[2]ВСР!E115</f>
        <v>00201 00010</v>
      </c>
      <c r="E13" s="139"/>
      <c r="F13" s="68">
        <f>F14</f>
        <v>1117.7</v>
      </c>
      <c r="G13" s="68">
        <f t="shared" ref="G13:H13" si="1">G14</f>
        <v>1015.6</v>
      </c>
      <c r="H13" s="68">
        <f t="shared" si="1"/>
        <v>1046.8</v>
      </c>
    </row>
    <row r="14" spans="1:8" s="54" customFormat="1" ht="77.45" customHeight="1" x14ac:dyDescent="0.2">
      <c r="A14" s="71"/>
      <c r="B14" s="145" t="s">
        <v>39</v>
      </c>
      <c r="C14" s="71" t="s">
        <v>184</v>
      </c>
      <c r="D14" s="265" t="str">
        <f>[2]ВСР!E116</f>
        <v>00201 00010</v>
      </c>
      <c r="E14" s="71" t="s">
        <v>40</v>
      </c>
      <c r="F14" s="69">
        <f>ВСР!G117</f>
        <v>1117.7</v>
      </c>
      <c r="G14" s="69">
        <f>ВСР!H117</f>
        <v>1015.6</v>
      </c>
      <c r="H14" s="69">
        <f>ВСР!I117</f>
        <v>1046.8</v>
      </c>
    </row>
    <row r="15" spans="1:8" s="54" customFormat="1" ht="55.5" customHeight="1" x14ac:dyDescent="0.2">
      <c r="A15" s="139" t="s">
        <v>41</v>
      </c>
      <c r="B15" s="206" t="s">
        <v>156</v>
      </c>
      <c r="C15" s="139" t="s">
        <v>185</v>
      </c>
      <c r="D15" s="153"/>
      <c r="E15" s="139"/>
      <c r="F15" s="68">
        <f>F18+F20+F16</f>
        <v>7842.3</v>
      </c>
      <c r="G15" s="68">
        <f t="shared" ref="G15:H15" si="2">G18+G20+G16</f>
        <v>7339.8000000000011</v>
      </c>
      <c r="H15" s="68">
        <f t="shared" si="2"/>
        <v>7623.4000000000015</v>
      </c>
    </row>
    <row r="16" spans="1:8" s="54" customFormat="1" ht="27" customHeight="1" x14ac:dyDescent="0.2">
      <c r="A16" s="139" t="s">
        <v>44</v>
      </c>
      <c r="B16" s="206" t="s">
        <v>186</v>
      </c>
      <c r="C16" s="139" t="s">
        <v>187</v>
      </c>
      <c r="D16" s="139" t="str">
        <f>[2]ВСР!E118</f>
        <v>00203 00021</v>
      </c>
      <c r="E16" s="139"/>
      <c r="F16" s="68">
        <f>F17</f>
        <v>778.2</v>
      </c>
      <c r="G16" s="68">
        <f t="shared" ref="G16:H16" si="3">G17</f>
        <v>675.40000000000009</v>
      </c>
      <c r="H16" s="68">
        <f t="shared" si="3"/>
        <v>696.1</v>
      </c>
    </row>
    <row r="17" spans="1:15" s="54" customFormat="1" ht="113.25" customHeight="1" x14ac:dyDescent="0.2">
      <c r="A17" s="71"/>
      <c r="B17" s="204" t="s">
        <v>160</v>
      </c>
      <c r="C17" s="71" t="s">
        <v>187</v>
      </c>
      <c r="D17" s="265" t="s">
        <v>159</v>
      </c>
      <c r="E17" s="71" t="s">
        <v>40</v>
      </c>
      <c r="F17" s="69">
        <f>ВСР!G120</f>
        <v>778.2</v>
      </c>
      <c r="G17" s="69">
        <f>ВСР!H120</f>
        <v>675.40000000000009</v>
      </c>
      <c r="H17" s="69">
        <f>ВСР!I120</f>
        <v>696.1</v>
      </c>
    </row>
    <row r="18" spans="1:15" s="54" customFormat="1" ht="36.950000000000003" customHeight="1" x14ac:dyDescent="0.2">
      <c r="A18" s="139" t="s">
        <v>45</v>
      </c>
      <c r="B18" s="206" t="s">
        <v>161</v>
      </c>
      <c r="C18" s="139" t="s">
        <v>187</v>
      </c>
      <c r="D18" s="139" t="str">
        <f>[2]ВСР!E120</f>
        <v>00203 00022</v>
      </c>
      <c r="E18" s="139"/>
      <c r="F18" s="68">
        <f>F19</f>
        <v>93.6</v>
      </c>
      <c r="G18" s="68">
        <f t="shared" ref="G18:H18" si="4">G19</f>
        <v>93.6</v>
      </c>
      <c r="H18" s="68">
        <f t="shared" si="4"/>
        <v>93.6</v>
      </c>
    </row>
    <row r="19" spans="1:15" s="54" customFormat="1" ht="114" customHeight="1" x14ac:dyDescent="0.2">
      <c r="A19" s="71"/>
      <c r="B19" s="204" t="s">
        <v>160</v>
      </c>
      <c r="C19" s="71" t="s">
        <v>187</v>
      </c>
      <c r="D19" s="265" t="s">
        <v>162</v>
      </c>
      <c r="E19" s="71" t="s">
        <v>40</v>
      </c>
      <c r="F19" s="69">
        <f>ВСР!G122</f>
        <v>93.6</v>
      </c>
      <c r="G19" s="69">
        <f>ВСР!H122</f>
        <v>93.6</v>
      </c>
      <c r="H19" s="69">
        <f>ВСР!I122</f>
        <v>93.6</v>
      </c>
    </row>
    <row r="20" spans="1:15" s="54" customFormat="1" ht="37.5" customHeight="1" x14ac:dyDescent="0.2">
      <c r="A20" s="139" t="s">
        <v>48</v>
      </c>
      <c r="B20" s="206" t="s">
        <v>163</v>
      </c>
      <c r="C20" s="139" t="s">
        <v>187</v>
      </c>
      <c r="D20" s="139" t="str">
        <f>[2]ВСР!E123</f>
        <v>00204 00020</v>
      </c>
      <c r="E20" s="139"/>
      <c r="F20" s="68">
        <f>F21+F22+F23</f>
        <v>6970.5</v>
      </c>
      <c r="G20" s="68">
        <f t="shared" ref="G20:H20" si="5">G21+G22+G23</f>
        <v>6570.8</v>
      </c>
      <c r="H20" s="68">
        <f t="shared" si="5"/>
        <v>6833.7000000000007</v>
      </c>
    </row>
    <row r="21" spans="1:15" s="54" customFormat="1" ht="76.5" customHeight="1" x14ac:dyDescent="0.2">
      <c r="A21" s="71"/>
      <c r="B21" s="145" t="s">
        <v>39</v>
      </c>
      <c r="C21" s="71" t="s">
        <v>187</v>
      </c>
      <c r="D21" s="265" t="s">
        <v>164</v>
      </c>
      <c r="E21" s="71" t="s">
        <v>40</v>
      </c>
      <c r="F21" s="69">
        <f>ВСР!G124</f>
        <v>4088.1</v>
      </c>
      <c r="G21" s="69">
        <f>ВСР!H124</f>
        <v>3872.2</v>
      </c>
      <c r="H21" s="69">
        <f>ВСР!I124</f>
        <v>3991.1</v>
      </c>
    </row>
    <row r="22" spans="1:15" s="54" customFormat="1" ht="36.75" customHeight="1" x14ac:dyDescent="0.2">
      <c r="A22" s="71"/>
      <c r="B22" s="204" t="s">
        <v>46</v>
      </c>
      <c r="C22" s="71" t="s">
        <v>187</v>
      </c>
      <c r="D22" s="265" t="s">
        <v>164</v>
      </c>
      <c r="E22" s="71" t="s">
        <v>47</v>
      </c>
      <c r="F22" s="69">
        <f>ВСР!G125</f>
        <v>2866.3</v>
      </c>
      <c r="G22" s="69">
        <f>ВСР!H125</f>
        <v>2682.5</v>
      </c>
      <c r="H22" s="69">
        <f>ВСР!I125</f>
        <v>2826.5</v>
      </c>
    </row>
    <row r="23" spans="1:15" s="54" customFormat="1" ht="20.100000000000001" customHeight="1" x14ac:dyDescent="0.2">
      <c r="A23" s="71"/>
      <c r="B23" s="204" t="s">
        <v>49</v>
      </c>
      <c r="C23" s="71" t="s">
        <v>188</v>
      </c>
      <c r="D23" s="265" t="s">
        <v>164</v>
      </c>
      <c r="E23" s="71" t="s">
        <v>50</v>
      </c>
      <c r="F23" s="69">
        <f>ВСР!G126</f>
        <v>16.100000000000001</v>
      </c>
      <c r="G23" s="69">
        <f>ВСР!H126</f>
        <v>16.100000000000001</v>
      </c>
      <c r="H23" s="69">
        <f>ВСР!I126</f>
        <v>16.100000000000001</v>
      </c>
    </row>
    <row r="24" spans="1:15" s="54" customFormat="1" ht="59.25" customHeight="1" x14ac:dyDescent="0.2">
      <c r="A24" s="139" t="s">
        <v>8</v>
      </c>
      <c r="B24" s="154" t="s">
        <v>34</v>
      </c>
      <c r="C24" s="139" t="s">
        <v>189</v>
      </c>
      <c r="D24" s="153"/>
      <c r="E24" s="139"/>
      <c r="F24" s="68">
        <f>F25+F27+F31+F33</f>
        <v>16715.400000000001</v>
      </c>
      <c r="G24" s="68">
        <f t="shared" ref="G24:H24" si="6">G25+G27+G31+G33</f>
        <v>16029.3</v>
      </c>
      <c r="H24" s="68">
        <f t="shared" si="6"/>
        <v>16546.400000000001</v>
      </c>
    </row>
    <row r="25" spans="1:15" s="54" customFormat="1" ht="20.100000000000001" customHeight="1" x14ac:dyDescent="0.2">
      <c r="A25" s="139" t="s">
        <v>65</v>
      </c>
      <c r="B25" s="219" t="s">
        <v>37</v>
      </c>
      <c r="C25" s="139" t="s">
        <v>190</v>
      </c>
      <c r="D25" s="139" t="str">
        <f>[2]ВСР!E15</f>
        <v>00205 00030</v>
      </c>
      <c r="E25" s="139"/>
      <c r="F25" s="68">
        <f>F26</f>
        <v>1217</v>
      </c>
      <c r="G25" s="68">
        <f t="shared" ref="G25:H25" si="7">G26</f>
        <v>1091.8</v>
      </c>
      <c r="H25" s="68">
        <f t="shared" si="7"/>
        <v>1125.3</v>
      </c>
    </row>
    <row r="26" spans="1:15" s="54" customFormat="1" ht="78.75" customHeight="1" x14ac:dyDescent="0.2">
      <c r="A26" s="71"/>
      <c r="B26" s="145" t="s">
        <v>39</v>
      </c>
      <c r="C26" s="71" t="s">
        <v>190</v>
      </c>
      <c r="D26" s="265" t="s">
        <v>38</v>
      </c>
      <c r="E26" s="71" t="s">
        <v>40</v>
      </c>
      <c r="F26" s="69">
        <f>ВСР!G16</f>
        <v>1217</v>
      </c>
      <c r="G26" s="69">
        <f>ВСР!H16</f>
        <v>1091.8</v>
      </c>
      <c r="H26" s="69">
        <f>ВСР!I16</f>
        <v>1125.3</v>
      </c>
    </row>
    <row r="27" spans="1:15" ht="74.099999999999994" customHeight="1" x14ac:dyDescent="0.2">
      <c r="A27" s="142" t="s">
        <v>69</v>
      </c>
      <c r="B27" s="219" t="s">
        <v>42</v>
      </c>
      <c r="C27" s="139" t="s">
        <v>190</v>
      </c>
      <c r="D27" s="139" t="str">
        <f>[2]ВСР!E17</f>
        <v>00206 00030</v>
      </c>
      <c r="E27" s="139"/>
      <c r="F27" s="68">
        <f>F28+F29+F30</f>
        <v>13093.400000000001</v>
      </c>
      <c r="G27" s="68">
        <f t="shared" ref="G27:H27" si="8">G28+G29+G30</f>
        <v>12521.9</v>
      </c>
      <c r="H27" s="68">
        <f t="shared" si="8"/>
        <v>12926.7</v>
      </c>
    </row>
    <row r="28" spans="1:15" ht="78" customHeight="1" x14ac:dyDescent="0.2">
      <c r="A28" s="281"/>
      <c r="B28" s="145" t="s">
        <v>39</v>
      </c>
      <c r="C28" s="71" t="s">
        <v>190</v>
      </c>
      <c r="D28" s="265" t="s">
        <v>43</v>
      </c>
      <c r="E28" s="71" t="s">
        <v>40</v>
      </c>
      <c r="F28" s="69">
        <f>ВСР!G18</f>
        <v>10533.7</v>
      </c>
      <c r="G28" s="69">
        <f>ВСР!H18</f>
        <v>9888.2999999999993</v>
      </c>
      <c r="H28" s="69">
        <f>ВСР!I18</f>
        <v>10192</v>
      </c>
    </row>
    <row r="29" spans="1:15" s="5" customFormat="1" ht="37.5" x14ac:dyDescent="0.2">
      <c r="A29" s="281"/>
      <c r="B29" s="205" t="s">
        <v>46</v>
      </c>
      <c r="C29" s="71" t="s">
        <v>190</v>
      </c>
      <c r="D29" s="265" t="s">
        <v>43</v>
      </c>
      <c r="E29" s="71" t="s">
        <v>47</v>
      </c>
      <c r="F29" s="69">
        <f>ВСР!G19</f>
        <v>2525.9000000000005</v>
      </c>
      <c r="G29" s="69">
        <f>ВСР!H19</f>
        <v>2612.4</v>
      </c>
      <c r="H29" s="69">
        <f>ВСР!I19</f>
        <v>2713.5</v>
      </c>
      <c r="I29" s="1"/>
      <c r="J29" s="1"/>
      <c r="K29" s="1"/>
      <c r="L29" s="1"/>
      <c r="M29" s="1"/>
      <c r="N29" s="1"/>
      <c r="O29" s="1"/>
    </row>
    <row r="30" spans="1:15" ht="22.5" customHeight="1" x14ac:dyDescent="0.2">
      <c r="A30" s="281"/>
      <c r="B30" s="204" t="s">
        <v>49</v>
      </c>
      <c r="C30" s="71" t="s">
        <v>190</v>
      </c>
      <c r="D30" s="265" t="s">
        <v>43</v>
      </c>
      <c r="E30" s="71" t="s">
        <v>50</v>
      </c>
      <c r="F30" s="69">
        <f>ВСР!G20</f>
        <v>33.799999999999997</v>
      </c>
      <c r="G30" s="69">
        <f>ВСР!H20</f>
        <v>21.2</v>
      </c>
      <c r="H30" s="69">
        <f>ВСР!I20</f>
        <v>21.2</v>
      </c>
    </row>
    <row r="31" spans="1:15" ht="75" x14ac:dyDescent="0.2">
      <c r="A31" s="142" t="s">
        <v>73</v>
      </c>
      <c r="B31" s="206" t="s">
        <v>51</v>
      </c>
      <c r="C31" s="139" t="s">
        <v>190</v>
      </c>
      <c r="D31" s="139" t="str">
        <f>[2]ВСР!E20</f>
        <v>09200 G0100</v>
      </c>
      <c r="E31" s="139"/>
      <c r="F31" s="68">
        <f>F32</f>
        <v>6.9</v>
      </c>
      <c r="G31" s="68">
        <f t="shared" ref="G31:H31" si="9">G32</f>
        <v>7.3</v>
      </c>
      <c r="H31" s="68">
        <f t="shared" si="9"/>
        <v>7.7</v>
      </c>
    </row>
    <row r="32" spans="1:15" ht="37.5" x14ac:dyDescent="0.2">
      <c r="A32" s="281"/>
      <c r="B32" s="205" t="s">
        <v>46</v>
      </c>
      <c r="C32" s="71" t="s">
        <v>190</v>
      </c>
      <c r="D32" s="265" t="s">
        <v>52</v>
      </c>
      <c r="E32" s="71" t="s">
        <v>47</v>
      </c>
      <c r="F32" s="69">
        <f>ВСР!G22</f>
        <v>6.9</v>
      </c>
      <c r="G32" s="69">
        <f>ВСР!H22</f>
        <v>7.3</v>
      </c>
      <c r="H32" s="69">
        <f>ВСР!I22</f>
        <v>7.7</v>
      </c>
    </row>
    <row r="33" spans="1:8" ht="81" customHeight="1" x14ac:dyDescent="0.2">
      <c r="A33" s="142" t="s">
        <v>75</v>
      </c>
      <c r="B33" s="219" t="s">
        <v>54</v>
      </c>
      <c r="C33" s="139" t="s">
        <v>190</v>
      </c>
      <c r="D33" s="139" t="str">
        <f>[2]ВСР!E22</f>
        <v>00200 G0850</v>
      </c>
      <c r="E33" s="139"/>
      <c r="F33" s="68">
        <f>SUM(F34:F35)</f>
        <v>2398.1</v>
      </c>
      <c r="G33" s="68">
        <f t="shared" ref="G33:H33" si="10">SUM(G34:G35)</f>
        <v>2408.3000000000002</v>
      </c>
      <c r="H33" s="68">
        <f t="shared" si="10"/>
        <v>2486.6999999999998</v>
      </c>
    </row>
    <row r="34" spans="1:8" ht="77.25" customHeight="1" x14ac:dyDescent="0.2">
      <c r="A34" s="281"/>
      <c r="B34" s="145" t="s">
        <v>39</v>
      </c>
      <c r="C34" s="71" t="s">
        <v>190</v>
      </c>
      <c r="D34" s="265" t="s">
        <v>55</v>
      </c>
      <c r="E34" s="71" t="s">
        <v>40</v>
      </c>
      <c r="F34" s="69">
        <f>ВСР!G24</f>
        <v>2208.7999999999997</v>
      </c>
      <c r="G34" s="69">
        <f>ВСР!H24</f>
        <v>2208.8000000000002</v>
      </c>
      <c r="H34" s="69">
        <f>ВСР!I24</f>
        <v>2276.6999999999998</v>
      </c>
    </row>
    <row r="35" spans="1:8" ht="37.5" x14ac:dyDescent="0.2">
      <c r="A35" s="70"/>
      <c r="B35" s="204" t="s">
        <v>46</v>
      </c>
      <c r="C35" s="71" t="s">
        <v>190</v>
      </c>
      <c r="D35" s="265" t="s">
        <v>55</v>
      </c>
      <c r="E35" s="71" t="s">
        <v>47</v>
      </c>
      <c r="F35" s="69">
        <f>ВСР!G25</f>
        <v>189.3</v>
      </c>
      <c r="G35" s="69">
        <f>ВСР!H25</f>
        <v>199.5</v>
      </c>
      <c r="H35" s="69">
        <f>ВСР!I25</f>
        <v>210</v>
      </c>
    </row>
    <row r="36" spans="1:8" ht="37.5" x14ac:dyDescent="0.2">
      <c r="A36" s="142" t="s">
        <v>9</v>
      </c>
      <c r="B36" s="220" t="s">
        <v>450</v>
      </c>
      <c r="C36" s="139" t="s">
        <v>212</v>
      </c>
      <c r="D36" s="153"/>
      <c r="E36" s="139"/>
      <c r="F36" s="68">
        <f>F37+F39</f>
        <v>0</v>
      </c>
      <c r="G36" s="68">
        <f t="shared" ref="G36:H36" si="11">G37+G39</f>
        <v>2469.9</v>
      </c>
      <c r="H36" s="68">
        <f t="shared" si="11"/>
        <v>0</v>
      </c>
    </row>
    <row r="37" spans="1:8" ht="36.75" customHeight="1" x14ac:dyDescent="0.2">
      <c r="A37" s="142" t="s">
        <v>470</v>
      </c>
      <c r="B37" s="220" t="s">
        <v>452</v>
      </c>
      <c r="C37" s="139" t="s">
        <v>458</v>
      </c>
      <c r="D37" s="139" t="s">
        <v>453</v>
      </c>
      <c r="E37" s="139"/>
      <c r="F37" s="68">
        <f>F38</f>
        <v>0</v>
      </c>
      <c r="G37" s="68">
        <f t="shared" ref="G37:H37" si="12">G38</f>
        <v>1995.7</v>
      </c>
      <c r="H37" s="68">
        <f t="shared" si="12"/>
        <v>0</v>
      </c>
    </row>
    <row r="38" spans="1:8" ht="80.25" customHeight="1" x14ac:dyDescent="0.2">
      <c r="A38" s="70"/>
      <c r="B38" s="145" t="s">
        <v>39</v>
      </c>
      <c r="C38" s="71" t="s">
        <v>458</v>
      </c>
      <c r="D38" s="71" t="s">
        <v>453</v>
      </c>
      <c r="E38" s="71" t="s">
        <v>40</v>
      </c>
      <c r="F38" s="69">
        <f>ВСР!G140</f>
        <v>0</v>
      </c>
      <c r="G38" s="69">
        <f>ВСР!H140</f>
        <v>1995.7</v>
      </c>
      <c r="H38" s="69">
        <f>ВСР!I140</f>
        <v>0</v>
      </c>
    </row>
    <row r="39" spans="1:8" ht="37.5" x14ac:dyDescent="0.2">
      <c r="A39" s="142" t="s">
        <v>471</v>
      </c>
      <c r="B39" s="219" t="s">
        <v>461</v>
      </c>
      <c r="C39" s="139" t="s">
        <v>458</v>
      </c>
      <c r="D39" s="139" t="s">
        <v>460</v>
      </c>
      <c r="E39" s="139"/>
      <c r="F39" s="68">
        <f>F40+F41</f>
        <v>0</v>
      </c>
      <c r="G39" s="68">
        <f t="shared" ref="G39:H39" si="13">G40+G41</f>
        <v>474.2</v>
      </c>
      <c r="H39" s="68">
        <f t="shared" si="13"/>
        <v>0</v>
      </c>
    </row>
    <row r="40" spans="1:8" ht="37.5" x14ac:dyDescent="0.2">
      <c r="A40" s="70"/>
      <c r="B40" s="204" t="s">
        <v>46</v>
      </c>
      <c r="C40" s="71" t="s">
        <v>458</v>
      </c>
      <c r="D40" s="71" t="s">
        <v>460</v>
      </c>
      <c r="E40" s="71" t="s">
        <v>47</v>
      </c>
      <c r="F40" s="69">
        <f>ВСР!G142</f>
        <v>0</v>
      </c>
      <c r="G40" s="69">
        <f>ВСР!H142</f>
        <v>470.2</v>
      </c>
      <c r="H40" s="69">
        <f>ВСР!I142</f>
        <v>0</v>
      </c>
    </row>
    <row r="41" spans="1:8" ht="18.75" x14ac:dyDescent="0.2">
      <c r="A41" s="70"/>
      <c r="B41" s="204" t="s">
        <v>49</v>
      </c>
      <c r="C41" s="71" t="s">
        <v>458</v>
      </c>
      <c r="D41" s="71" t="s">
        <v>460</v>
      </c>
      <c r="E41" s="71" t="s">
        <v>50</v>
      </c>
      <c r="F41" s="69">
        <f>ВСР!G143</f>
        <v>0</v>
      </c>
      <c r="G41" s="69">
        <f>ВСР!H143</f>
        <v>4</v>
      </c>
      <c r="H41" s="69">
        <f>ВСР!I143</f>
        <v>0</v>
      </c>
    </row>
    <row r="42" spans="1:8" ht="23.1" customHeight="1" x14ac:dyDescent="0.2">
      <c r="A42" s="142" t="s">
        <v>11</v>
      </c>
      <c r="B42" s="219" t="s">
        <v>191</v>
      </c>
      <c r="C42" s="139" t="s">
        <v>192</v>
      </c>
      <c r="D42" s="153"/>
      <c r="E42" s="139"/>
      <c r="F42" s="68">
        <f>F43</f>
        <v>65</v>
      </c>
      <c r="G42" s="68">
        <f t="shared" ref="G42:H43" si="14">G43</f>
        <v>65</v>
      </c>
      <c r="H42" s="68">
        <f t="shared" si="14"/>
        <v>65</v>
      </c>
    </row>
    <row r="43" spans="1:8" ht="18.75" x14ac:dyDescent="0.2">
      <c r="A43" s="142" t="s">
        <v>856</v>
      </c>
      <c r="B43" s="219" t="s">
        <v>60</v>
      </c>
      <c r="C43" s="139" t="s">
        <v>193</v>
      </c>
      <c r="D43" s="139" t="str">
        <f>[2]ВСР!E26</f>
        <v>07001 00060</v>
      </c>
      <c r="E43" s="139"/>
      <c r="F43" s="68">
        <f>F44</f>
        <v>65</v>
      </c>
      <c r="G43" s="68">
        <f t="shared" si="14"/>
        <v>65</v>
      </c>
      <c r="H43" s="68">
        <f t="shared" si="14"/>
        <v>65</v>
      </c>
    </row>
    <row r="44" spans="1:8" ht="18.75" x14ac:dyDescent="0.2">
      <c r="A44" s="70"/>
      <c r="B44" s="145" t="s">
        <v>49</v>
      </c>
      <c r="C44" s="71" t="s">
        <v>193</v>
      </c>
      <c r="D44" s="265" t="s">
        <v>61</v>
      </c>
      <c r="E44" s="71" t="s">
        <v>50</v>
      </c>
      <c r="F44" s="69">
        <f>ВСР!G28</f>
        <v>65</v>
      </c>
      <c r="G44" s="69">
        <f>ВСР!H28</f>
        <v>65</v>
      </c>
      <c r="H44" s="69">
        <f>ВСР!I28</f>
        <v>65</v>
      </c>
    </row>
    <row r="45" spans="1:8" ht="18.75" x14ac:dyDescent="0.2">
      <c r="A45" s="142" t="s">
        <v>465</v>
      </c>
      <c r="B45" s="219" t="s">
        <v>194</v>
      </c>
      <c r="C45" s="139" t="s">
        <v>195</v>
      </c>
      <c r="D45" s="153"/>
      <c r="E45" s="139"/>
      <c r="F45" s="68">
        <f>F46+F52+F50+F48+F56</f>
        <v>11335.800000000001</v>
      </c>
      <c r="G45" s="68">
        <f>G46+G52+G50+G48+G56</f>
        <v>10700.3</v>
      </c>
      <c r="H45" s="68">
        <f t="shared" ref="H45" si="15">H46+H52+H50+H48+H56</f>
        <v>11039.8</v>
      </c>
    </row>
    <row r="46" spans="1:8" ht="18.75" x14ac:dyDescent="0.2">
      <c r="A46" s="142" t="s">
        <v>828</v>
      </c>
      <c r="B46" s="206" t="s">
        <v>66</v>
      </c>
      <c r="C46" s="139" t="s">
        <v>196</v>
      </c>
      <c r="D46" s="139" t="str">
        <f>[2]ВСР!E29</f>
        <v>09201 00070</v>
      </c>
      <c r="E46" s="139"/>
      <c r="F46" s="68">
        <f>F47</f>
        <v>396</v>
      </c>
      <c r="G46" s="68" t="str">
        <f t="shared" ref="G46:H46" si="16">G47</f>
        <v>417,4</v>
      </c>
      <c r="H46" s="68">
        <f t="shared" si="16"/>
        <v>440</v>
      </c>
    </row>
    <row r="47" spans="1:8" ht="37.5" x14ac:dyDescent="0.2">
      <c r="A47" s="70"/>
      <c r="B47" s="204" t="s">
        <v>46</v>
      </c>
      <c r="C47" s="71" t="s">
        <v>196</v>
      </c>
      <c r="D47" s="265" t="s">
        <v>67</v>
      </c>
      <c r="E47" s="71" t="s">
        <v>47</v>
      </c>
      <c r="F47" s="69">
        <f>ВСР!G31</f>
        <v>396</v>
      </c>
      <c r="G47" s="69" t="str">
        <f>ВСР!H31</f>
        <v>417,4</v>
      </c>
      <c r="H47" s="69">
        <f>ВСР!I31</f>
        <v>440</v>
      </c>
    </row>
    <row r="48" spans="1:8" s="53" customFormat="1" ht="18.75" x14ac:dyDescent="0.2">
      <c r="A48" s="142" t="s">
        <v>466</v>
      </c>
      <c r="B48" s="206" t="s">
        <v>275</v>
      </c>
      <c r="C48" s="139" t="s">
        <v>196</v>
      </c>
      <c r="D48" s="139" t="s">
        <v>276</v>
      </c>
      <c r="E48" s="139"/>
      <c r="F48" s="68">
        <f>F49</f>
        <v>125.39999999999999</v>
      </c>
      <c r="G48" s="68">
        <f t="shared" ref="G48:H48" si="17">G49</f>
        <v>132.39999999999998</v>
      </c>
      <c r="H48" s="68">
        <f t="shared" si="17"/>
        <v>139.29999999999998</v>
      </c>
    </row>
    <row r="49" spans="1:8" s="53" customFormat="1" ht="37.5" x14ac:dyDescent="0.2">
      <c r="A49" s="70"/>
      <c r="B49" s="204" t="s">
        <v>46</v>
      </c>
      <c r="C49" s="71" t="s">
        <v>196</v>
      </c>
      <c r="D49" s="71" t="s">
        <v>276</v>
      </c>
      <c r="E49" s="71" t="s">
        <v>47</v>
      </c>
      <c r="F49" s="69">
        <f>ВСР!G32+ВСР!G128</f>
        <v>125.39999999999999</v>
      </c>
      <c r="G49" s="69">
        <f>ВСР!H32+ВСР!H128</f>
        <v>132.39999999999998</v>
      </c>
      <c r="H49" s="69">
        <f>ВСР!I32+ВСР!I128</f>
        <v>139.29999999999998</v>
      </c>
    </row>
    <row r="50" spans="1:8" ht="56.25" x14ac:dyDescent="0.2">
      <c r="A50" s="142" t="s">
        <v>467</v>
      </c>
      <c r="B50" s="206" t="s">
        <v>253</v>
      </c>
      <c r="C50" s="139" t="s">
        <v>196</v>
      </c>
      <c r="D50" s="139" t="str">
        <f>[2]ВСР!E127</f>
        <v>09205 00440</v>
      </c>
      <c r="E50" s="139"/>
      <c r="F50" s="68">
        <f>F51</f>
        <v>116.3</v>
      </c>
      <c r="G50" s="68">
        <f t="shared" ref="G50:H50" si="18">G51</f>
        <v>84</v>
      </c>
      <c r="H50" s="68">
        <f t="shared" si="18"/>
        <v>84</v>
      </c>
    </row>
    <row r="51" spans="1:8" ht="18.75" x14ac:dyDescent="0.2">
      <c r="A51" s="70"/>
      <c r="B51" s="205" t="s">
        <v>49</v>
      </c>
      <c r="C51" s="71" t="s">
        <v>196</v>
      </c>
      <c r="D51" s="265" t="s">
        <v>165</v>
      </c>
      <c r="E51" s="71" t="s">
        <v>50</v>
      </c>
      <c r="F51" s="69">
        <f>ВСР!G131</f>
        <v>116.3</v>
      </c>
      <c r="G51" s="69">
        <f>ВСР!H131</f>
        <v>84</v>
      </c>
      <c r="H51" s="69">
        <f>ВСР!I131</f>
        <v>84</v>
      </c>
    </row>
    <row r="52" spans="1:8" ht="75" x14ac:dyDescent="0.2">
      <c r="A52" s="142" t="s">
        <v>468</v>
      </c>
      <c r="B52" s="219" t="s">
        <v>70</v>
      </c>
      <c r="C52" s="139" t="s">
        <v>196</v>
      </c>
      <c r="D52" s="139" t="str">
        <f>[2]ВСР!E32</f>
        <v>09201 00460</v>
      </c>
      <c r="E52" s="139"/>
      <c r="F52" s="68">
        <f>F53+F54+F55</f>
        <v>10678.100000000002</v>
      </c>
      <c r="G52" s="68">
        <f t="shared" ref="G52:H52" si="19">G53+G54+G55</f>
        <v>10045.5</v>
      </c>
      <c r="H52" s="68">
        <f t="shared" si="19"/>
        <v>10354.4</v>
      </c>
    </row>
    <row r="53" spans="1:8" ht="76.5" customHeight="1" x14ac:dyDescent="0.2">
      <c r="A53" s="70"/>
      <c r="B53" s="145" t="s">
        <v>39</v>
      </c>
      <c r="C53" s="71" t="s">
        <v>196</v>
      </c>
      <c r="D53" s="265" t="s">
        <v>71</v>
      </c>
      <c r="E53" s="71" t="s">
        <v>40</v>
      </c>
      <c r="F53" s="69">
        <f>ВСР!G35</f>
        <v>10552.900000000001</v>
      </c>
      <c r="G53" s="69">
        <f>ВСР!H35</f>
        <v>9920.6</v>
      </c>
      <c r="H53" s="69">
        <f>ВСР!I35</f>
        <v>10225.4</v>
      </c>
    </row>
    <row r="54" spans="1:8" ht="37.5" x14ac:dyDescent="0.2">
      <c r="A54" s="70"/>
      <c r="B54" s="204" t="s">
        <v>46</v>
      </c>
      <c r="C54" s="71" t="s">
        <v>196</v>
      </c>
      <c r="D54" s="265" t="s">
        <v>71</v>
      </c>
      <c r="E54" s="71" t="s">
        <v>47</v>
      </c>
      <c r="F54" s="69">
        <f>ВСР!G36</f>
        <v>125.10000000000001</v>
      </c>
      <c r="G54" s="69">
        <f>ВСР!H36</f>
        <v>124.8</v>
      </c>
      <c r="H54" s="69">
        <f>ВСР!I36</f>
        <v>128.89999999999998</v>
      </c>
    </row>
    <row r="55" spans="1:8" ht="18.75" x14ac:dyDescent="0.2">
      <c r="A55" s="70"/>
      <c r="B55" s="205" t="s">
        <v>49</v>
      </c>
      <c r="C55" s="71" t="s">
        <v>196</v>
      </c>
      <c r="D55" s="265" t="s">
        <v>71</v>
      </c>
      <c r="E55" s="71" t="s">
        <v>50</v>
      </c>
      <c r="F55" s="69">
        <v>0.1</v>
      </c>
      <c r="G55" s="69">
        <v>0.1</v>
      </c>
      <c r="H55" s="69">
        <v>0.1</v>
      </c>
    </row>
    <row r="56" spans="1:8" ht="56.25" x14ac:dyDescent="0.2">
      <c r="A56" s="142" t="s">
        <v>469</v>
      </c>
      <c r="B56" s="206" t="s">
        <v>430</v>
      </c>
      <c r="C56" s="139" t="s">
        <v>64</v>
      </c>
      <c r="D56" s="139" t="s">
        <v>431</v>
      </c>
      <c r="E56" s="139"/>
      <c r="F56" s="68">
        <f>F57</f>
        <v>20</v>
      </c>
      <c r="G56" s="68">
        <f t="shared" ref="G56:H56" si="20">G57</f>
        <v>21</v>
      </c>
      <c r="H56" s="68">
        <f t="shared" si="20"/>
        <v>22.1</v>
      </c>
    </row>
    <row r="57" spans="1:8" ht="37.5" x14ac:dyDescent="0.2">
      <c r="A57" s="71"/>
      <c r="B57" s="204" t="s">
        <v>46</v>
      </c>
      <c r="C57" s="71" t="s">
        <v>64</v>
      </c>
      <c r="D57" s="71" t="s">
        <v>431</v>
      </c>
      <c r="E57" s="71" t="s">
        <v>47</v>
      </c>
      <c r="F57" s="69">
        <f>ВСР!G39</f>
        <v>20</v>
      </c>
      <c r="G57" s="69">
        <f>ВСР!H39</f>
        <v>21</v>
      </c>
      <c r="H57" s="69">
        <f>ВСР!I39</f>
        <v>22.1</v>
      </c>
    </row>
    <row r="58" spans="1:8" ht="37.5" x14ac:dyDescent="0.2">
      <c r="A58" s="142" t="s">
        <v>14</v>
      </c>
      <c r="B58" s="219" t="s">
        <v>79</v>
      </c>
      <c r="C58" s="139" t="s">
        <v>185</v>
      </c>
      <c r="D58" s="153"/>
      <c r="E58" s="139"/>
      <c r="F58" s="68">
        <f>F59</f>
        <v>120.1</v>
      </c>
      <c r="G58" s="68">
        <f t="shared" ref="G58:H60" si="21">G59</f>
        <v>87.8</v>
      </c>
      <c r="H58" s="68">
        <f t="shared" si="21"/>
        <v>96</v>
      </c>
    </row>
    <row r="59" spans="1:8" ht="36" customHeight="1" x14ac:dyDescent="0.2">
      <c r="A59" s="142" t="s">
        <v>12</v>
      </c>
      <c r="B59" s="154" t="s">
        <v>81</v>
      </c>
      <c r="C59" s="139" t="s">
        <v>198</v>
      </c>
      <c r="D59" s="153"/>
      <c r="E59" s="139"/>
      <c r="F59" s="68">
        <f>F60</f>
        <v>120.1</v>
      </c>
      <c r="G59" s="68">
        <f t="shared" si="21"/>
        <v>87.8</v>
      </c>
      <c r="H59" s="68">
        <f t="shared" si="21"/>
        <v>96</v>
      </c>
    </row>
    <row r="60" spans="1:8" ht="135" customHeight="1" x14ac:dyDescent="0.2">
      <c r="A60" s="142" t="s">
        <v>15</v>
      </c>
      <c r="B60" s="339" t="s">
        <v>83</v>
      </c>
      <c r="C60" s="139" t="s">
        <v>199</v>
      </c>
      <c r="D60" s="139" t="str">
        <f>[2]ВСР!E43</f>
        <v>21900 00090</v>
      </c>
      <c r="E60" s="139"/>
      <c r="F60" s="68">
        <f>F61</f>
        <v>120.1</v>
      </c>
      <c r="G60" s="68">
        <f t="shared" si="21"/>
        <v>87.8</v>
      </c>
      <c r="H60" s="68">
        <f t="shared" si="21"/>
        <v>96</v>
      </c>
    </row>
    <row r="61" spans="1:8" ht="37.5" x14ac:dyDescent="0.2">
      <c r="A61" s="70"/>
      <c r="B61" s="204" t="s">
        <v>46</v>
      </c>
      <c r="C61" s="71" t="s">
        <v>199</v>
      </c>
      <c r="D61" s="265" t="s">
        <v>84</v>
      </c>
      <c r="E61" s="71" t="s">
        <v>47</v>
      </c>
      <c r="F61" s="69">
        <f>ВСР!G43</f>
        <v>120.1</v>
      </c>
      <c r="G61" s="69">
        <f>ВСР!H43</f>
        <v>87.8</v>
      </c>
      <c r="H61" s="69">
        <f>ВСР!I43</f>
        <v>96</v>
      </c>
    </row>
    <row r="62" spans="1:8" ht="18.75" x14ac:dyDescent="0.2">
      <c r="A62" s="142" t="s">
        <v>25</v>
      </c>
      <c r="B62" s="219" t="s">
        <v>85</v>
      </c>
      <c r="C62" s="139" t="s">
        <v>189</v>
      </c>
      <c r="D62" s="153"/>
      <c r="E62" s="139"/>
      <c r="F62" s="68">
        <f>F63</f>
        <v>20</v>
      </c>
      <c r="G62" s="68">
        <f t="shared" ref="G62:H64" si="22">G63</f>
        <v>21.2</v>
      </c>
      <c r="H62" s="68">
        <f t="shared" si="22"/>
        <v>22.2</v>
      </c>
    </row>
    <row r="63" spans="1:8" ht="18.75" x14ac:dyDescent="0.2">
      <c r="A63" s="142" t="s">
        <v>200</v>
      </c>
      <c r="B63" s="340" t="s">
        <v>87</v>
      </c>
      <c r="C63" s="139" t="s">
        <v>201</v>
      </c>
      <c r="D63" s="153"/>
      <c r="E63" s="139"/>
      <c r="F63" s="68">
        <f>F64+F66</f>
        <v>20</v>
      </c>
      <c r="G63" s="68">
        <f t="shared" ref="G63:H63" si="23">G64+G66</f>
        <v>21.2</v>
      </c>
      <c r="H63" s="68">
        <f t="shared" si="23"/>
        <v>22.2</v>
      </c>
    </row>
    <row r="64" spans="1:8" ht="62.25" customHeight="1" x14ac:dyDescent="0.2">
      <c r="A64" s="142" t="s">
        <v>202</v>
      </c>
      <c r="B64" s="341" t="s">
        <v>286</v>
      </c>
      <c r="C64" s="139" t="s">
        <v>203</v>
      </c>
      <c r="D64" s="139" t="str">
        <f>[2]ВСР!E51</f>
        <v>34500 00100</v>
      </c>
      <c r="E64" s="139"/>
      <c r="F64" s="68">
        <f>F65</f>
        <v>10</v>
      </c>
      <c r="G64" s="68" t="str">
        <f t="shared" si="22"/>
        <v>10,6</v>
      </c>
      <c r="H64" s="68">
        <f t="shared" si="22"/>
        <v>11.1</v>
      </c>
    </row>
    <row r="65" spans="1:8" ht="37.5" x14ac:dyDescent="0.2">
      <c r="A65" s="70"/>
      <c r="B65" s="145" t="s">
        <v>46</v>
      </c>
      <c r="C65" s="71" t="s">
        <v>203</v>
      </c>
      <c r="D65" s="265" t="s">
        <v>89</v>
      </c>
      <c r="E65" s="71" t="s">
        <v>47</v>
      </c>
      <c r="F65" s="69">
        <f>ВСР!G47</f>
        <v>10</v>
      </c>
      <c r="G65" s="69" t="str">
        <f>ВСР!H47</f>
        <v>10,6</v>
      </c>
      <c r="H65" s="69">
        <f>ВСР!I47</f>
        <v>11.1</v>
      </c>
    </row>
    <row r="66" spans="1:8" s="53" customFormat="1" ht="59.25" customHeight="1" x14ac:dyDescent="0.2">
      <c r="A66" s="142" t="s">
        <v>429</v>
      </c>
      <c r="B66" s="207" t="s">
        <v>427</v>
      </c>
      <c r="C66" s="139" t="s">
        <v>203</v>
      </c>
      <c r="D66" s="152">
        <v>3450100101</v>
      </c>
      <c r="E66" s="139"/>
      <c r="F66" s="68">
        <f>F67</f>
        <v>10</v>
      </c>
      <c r="G66" s="68" t="str">
        <f t="shared" ref="G66:H66" si="24">G67</f>
        <v>10,6</v>
      </c>
      <c r="H66" s="68">
        <f t="shared" si="24"/>
        <v>11.1</v>
      </c>
    </row>
    <row r="67" spans="1:8" s="53" customFormat="1" ht="37.5" x14ac:dyDescent="0.2">
      <c r="A67" s="70"/>
      <c r="B67" s="145" t="s">
        <v>46</v>
      </c>
      <c r="C67" s="71" t="s">
        <v>203</v>
      </c>
      <c r="D67" s="73">
        <v>3450100101</v>
      </c>
      <c r="E67" s="71" t="s">
        <v>47</v>
      </c>
      <c r="F67" s="69">
        <f>ВСР!G49</f>
        <v>10</v>
      </c>
      <c r="G67" s="69" t="str">
        <f>ВСР!H49</f>
        <v>10,6</v>
      </c>
      <c r="H67" s="69">
        <f>ВСР!I49</f>
        <v>11.1</v>
      </c>
    </row>
    <row r="68" spans="1:8" ht="23.1" customHeight="1" x14ac:dyDescent="0.2">
      <c r="A68" s="142" t="s">
        <v>26</v>
      </c>
      <c r="B68" s="219" t="s">
        <v>90</v>
      </c>
      <c r="C68" s="139" t="s">
        <v>204</v>
      </c>
      <c r="D68" s="153"/>
      <c r="E68" s="139"/>
      <c r="F68" s="68">
        <f>F69</f>
        <v>19902</v>
      </c>
      <c r="G68" s="68">
        <f t="shared" ref="G68:H68" si="25">G69</f>
        <v>16971.800000000003</v>
      </c>
      <c r="H68" s="68">
        <f t="shared" si="25"/>
        <v>22851.3</v>
      </c>
    </row>
    <row r="69" spans="1:8" ht="18.75" x14ac:dyDescent="0.2">
      <c r="A69" s="142" t="s">
        <v>205</v>
      </c>
      <c r="B69" s="219" t="s">
        <v>92</v>
      </c>
      <c r="C69" s="139" t="s">
        <v>206</v>
      </c>
      <c r="D69" s="153"/>
      <c r="E69" s="139"/>
      <c r="F69" s="68">
        <f>F70+F72+F76+F78+F80+F82+F84+F86+F74</f>
        <v>19902</v>
      </c>
      <c r="G69" s="68">
        <f t="shared" ref="G69:H69" si="26">G70+G72+G76+G78+G80+G82+G84+G86+G74</f>
        <v>16971.800000000003</v>
      </c>
      <c r="H69" s="68">
        <f t="shared" si="26"/>
        <v>22851.3</v>
      </c>
    </row>
    <row r="70" spans="1:8" ht="37.5" x14ac:dyDescent="0.2">
      <c r="A70" s="142" t="s">
        <v>311</v>
      </c>
      <c r="B70" s="206" t="s">
        <v>94</v>
      </c>
      <c r="C70" s="139" t="s">
        <v>207</v>
      </c>
      <c r="D70" s="139" t="str">
        <f>[2]ВСР!E56</f>
        <v>60001 00132</v>
      </c>
      <c r="E70" s="139"/>
      <c r="F70" s="68">
        <f>F71</f>
        <v>350.1</v>
      </c>
      <c r="G70" s="68">
        <f t="shared" ref="G70:H70" si="27">G71</f>
        <v>340.7</v>
      </c>
      <c r="H70" s="68">
        <f t="shared" si="27"/>
        <v>334.3</v>
      </c>
    </row>
    <row r="71" spans="1:8" ht="37.5" x14ac:dyDescent="0.2">
      <c r="A71" s="70"/>
      <c r="B71" s="145" t="s">
        <v>46</v>
      </c>
      <c r="C71" s="71" t="s">
        <v>207</v>
      </c>
      <c r="D71" s="71" t="str">
        <f>[2]ВСР!E57</f>
        <v>60001 00132</v>
      </c>
      <c r="E71" s="71" t="s">
        <v>47</v>
      </c>
      <c r="F71" s="69">
        <f>ВСР!G53</f>
        <v>350.1</v>
      </c>
      <c r="G71" s="69">
        <f>ВСР!H53</f>
        <v>340.7</v>
      </c>
      <c r="H71" s="69">
        <f>ВСР!I53</f>
        <v>334.3</v>
      </c>
    </row>
    <row r="72" spans="1:8" ht="76.5" customHeight="1" x14ac:dyDescent="0.2">
      <c r="A72" s="142" t="s">
        <v>279</v>
      </c>
      <c r="B72" s="206" t="s">
        <v>96</v>
      </c>
      <c r="C72" s="139" t="s">
        <v>207</v>
      </c>
      <c r="D72" s="139" t="s">
        <v>248</v>
      </c>
      <c r="E72" s="139"/>
      <c r="F72" s="68">
        <f>F73</f>
        <v>250</v>
      </c>
      <c r="G72" s="68">
        <f t="shared" ref="G72:H72" si="28">G73</f>
        <v>179.60000000000002</v>
      </c>
      <c r="H72" s="68">
        <f t="shared" si="28"/>
        <v>189.10000000000002</v>
      </c>
    </row>
    <row r="73" spans="1:8" ht="37.5" x14ac:dyDescent="0.2">
      <c r="A73" s="70"/>
      <c r="B73" s="204" t="s">
        <v>46</v>
      </c>
      <c r="C73" s="71" t="s">
        <v>207</v>
      </c>
      <c r="D73" s="71" t="s">
        <v>248</v>
      </c>
      <c r="E73" s="71" t="s">
        <v>47</v>
      </c>
      <c r="F73" s="69">
        <f>ВСР!G55</f>
        <v>250</v>
      </c>
      <c r="G73" s="69">
        <f>ВСР!H55</f>
        <v>179.60000000000002</v>
      </c>
      <c r="H73" s="69">
        <f>ВСР!I55</f>
        <v>189.10000000000002</v>
      </c>
    </row>
    <row r="74" spans="1:8" ht="44.25" customHeight="1" x14ac:dyDescent="0.2">
      <c r="A74" s="142" t="s">
        <v>280</v>
      </c>
      <c r="B74" s="206" t="s">
        <v>852</v>
      </c>
      <c r="C74" s="139" t="s">
        <v>207</v>
      </c>
      <c r="D74" s="139" t="s">
        <v>853</v>
      </c>
      <c r="E74" s="68"/>
      <c r="F74" s="68">
        <f>F75</f>
        <v>60</v>
      </c>
      <c r="G74" s="68">
        <f t="shared" ref="G74:H74" si="29">G75</f>
        <v>0</v>
      </c>
      <c r="H74" s="68">
        <f t="shared" si="29"/>
        <v>0</v>
      </c>
    </row>
    <row r="75" spans="1:8" ht="37.5" x14ac:dyDescent="0.2">
      <c r="A75" s="70"/>
      <c r="B75" s="204" t="s">
        <v>46</v>
      </c>
      <c r="C75" s="71" t="s">
        <v>207</v>
      </c>
      <c r="D75" s="71" t="s">
        <v>853</v>
      </c>
      <c r="E75" s="69" t="s">
        <v>47</v>
      </c>
      <c r="F75" s="69">
        <v>60</v>
      </c>
      <c r="G75" s="69">
        <v>0</v>
      </c>
      <c r="H75" s="69">
        <v>0</v>
      </c>
    </row>
    <row r="76" spans="1:8" ht="45.75" customHeight="1" x14ac:dyDescent="0.2">
      <c r="A76" s="142" t="s">
        <v>281</v>
      </c>
      <c r="B76" s="206" t="s">
        <v>97</v>
      </c>
      <c r="C76" s="139" t="s">
        <v>207</v>
      </c>
      <c r="D76" s="139" t="str">
        <f>[2]ВСР!E63</f>
        <v>60003 00151</v>
      </c>
      <c r="E76" s="139"/>
      <c r="F76" s="68">
        <f>F77</f>
        <v>4346.8</v>
      </c>
      <c r="G76" s="68">
        <f t="shared" ref="G76:H76" si="30">G77</f>
        <v>955.70000000000027</v>
      </c>
      <c r="H76" s="68">
        <f t="shared" si="30"/>
        <v>1006.4000000000005</v>
      </c>
    </row>
    <row r="77" spans="1:8" ht="37.5" x14ac:dyDescent="0.2">
      <c r="A77" s="70"/>
      <c r="B77" s="204" t="s">
        <v>46</v>
      </c>
      <c r="C77" s="71" t="s">
        <v>207</v>
      </c>
      <c r="D77" s="265" t="s">
        <v>98</v>
      </c>
      <c r="E77" s="71" t="s">
        <v>47</v>
      </c>
      <c r="F77" s="69">
        <f>ВСР!G59</f>
        <v>4346.8</v>
      </c>
      <c r="G77" s="69">
        <f>ВСР!H59</f>
        <v>955.70000000000027</v>
      </c>
      <c r="H77" s="69">
        <f>ВСР!I59</f>
        <v>1006.4000000000005</v>
      </c>
    </row>
    <row r="78" spans="1:8" ht="37.5" x14ac:dyDescent="0.2">
      <c r="A78" s="142" t="s">
        <v>282</v>
      </c>
      <c r="B78" s="206" t="s">
        <v>99</v>
      </c>
      <c r="C78" s="139" t="s">
        <v>207</v>
      </c>
      <c r="D78" s="139" t="s">
        <v>249</v>
      </c>
      <c r="E78" s="139"/>
      <c r="F78" s="68">
        <f>F79</f>
        <v>250</v>
      </c>
      <c r="G78" s="68">
        <f t="shared" ref="G78:H78" si="31">G79</f>
        <v>75.3</v>
      </c>
      <c r="H78" s="68">
        <f t="shared" si="31"/>
        <v>95.2</v>
      </c>
    </row>
    <row r="79" spans="1:8" ht="37.5" x14ac:dyDescent="0.2">
      <c r="A79" s="70"/>
      <c r="B79" s="204" t="s">
        <v>46</v>
      </c>
      <c r="C79" s="71" t="s">
        <v>207</v>
      </c>
      <c r="D79" s="71" t="s">
        <v>249</v>
      </c>
      <c r="E79" s="71" t="s">
        <v>47</v>
      </c>
      <c r="F79" s="69">
        <f>ВСР!G61</f>
        <v>250</v>
      </c>
      <c r="G79" s="69">
        <f>ВСР!H61</f>
        <v>75.3</v>
      </c>
      <c r="H79" s="69">
        <f>ВСР!I61</f>
        <v>95.2</v>
      </c>
    </row>
    <row r="80" spans="1:8" ht="75" x14ac:dyDescent="0.2">
      <c r="A80" s="142" t="s">
        <v>283</v>
      </c>
      <c r="B80" s="206" t="s">
        <v>100</v>
      </c>
      <c r="C80" s="139" t="s">
        <v>207</v>
      </c>
      <c r="D80" s="139" t="s">
        <v>250</v>
      </c>
      <c r="E80" s="139"/>
      <c r="F80" s="68">
        <f>F81</f>
        <v>579.79999999999995</v>
      </c>
      <c r="G80" s="68">
        <f t="shared" ref="G80:H80" si="32">G81</f>
        <v>806.5</v>
      </c>
      <c r="H80" s="68">
        <f t="shared" si="32"/>
        <v>849.3</v>
      </c>
    </row>
    <row r="81" spans="1:8" ht="37.5" x14ac:dyDescent="0.2">
      <c r="A81" s="70"/>
      <c r="B81" s="204" t="s">
        <v>46</v>
      </c>
      <c r="C81" s="71" t="s">
        <v>207</v>
      </c>
      <c r="D81" s="71" t="s">
        <v>250</v>
      </c>
      <c r="E81" s="71" t="s">
        <v>47</v>
      </c>
      <c r="F81" s="69">
        <f>ВСР!G63</f>
        <v>579.79999999999995</v>
      </c>
      <c r="G81" s="69">
        <f>ВСР!H63</f>
        <v>806.5</v>
      </c>
      <c r="H81" s="69">
        <f>ВСР!I63</f>
        <v>849.3</v>
      </c>
    </row>
    <row r="82" spans="1:8" ht="37.5" x14ac:dyDescent="0.2">
      <c r="A82" s="142" t="s">
        <v>284</v>
      </c>
      <c r="B82" s="206" t="s">
        <v>101</v>
      </c>
      <c r="C82" s="139" t="s">
        <v>207</v>
      </c>
      <c r="D82" s="139" t="s">
        <v>251</v>
      </c>
      <c r="E82" s="139"/>
      <c r="F82" s="68">
        <f>F83</f>
        <v>4230.1000000000004</v>
      </c>
      <c r="G82" s="68">
        <f t="shared" ref="G82:H82" si="33">G83</f>
        <v>3934.9</v>
      </c>
      <c r="H82" s="68">
        <f t="shared" si="33"/>
        <v>2736.7</v>
      </c>
    </row>
    <row r="83" spans="1:8" ht="37.5" x14ac:dyDescent="0.2">
      <c r="A83" s="70"/>
      <c r="B83" s="204" t="s">
        <v>46</v>
      </c>
      <c r="C83" s="71" t="s">
        <v>207</v>
      </c>
      <c r="D83" s="71" t="s">
        <v>251</v>
      </c>
      <c r="E83" s="71" t="s">
        <v>47</v>
      </c>
      <c r="F83" s="69">
        <f>ВСР!G65</f>
        <v>4230.1000000000004</v>
      </c>
      <c r="G83" s="69">
        <f>ВСР!H65</f>
        <v>3934.9</v>
      </c>
      <c r="H83" s="69">
        <f>ВСР!I65</f>
        <v>2736.7</v>
      </c>
    </row>
    <row r="84" spans="1:8" ht="56.25" x14ac:dyDescent="0.2">
      <c r="A84" s="142" t="s">
        <v>456</v>
      </c>
      <c r="B84" s="219" t="s">
        <v>102</v>
      </c>
      <c r="C84" s="139" t="s">
        <v>207</v>
      </c>
      <c r="D84" s="139" t="s">
        <v>103</v>
      </c>
      <c r="E84" s="139"/>
      <c r="F84" s="68">
        <f>F85</f>
        <v>9835.2000000000007</v>
      </c>
      <c r="G84" s="68">
        <f t="shared" ref="G84:H84" si="34">G85</f>
        <v>9005.8000000000011</v>
      </c>
      <c r="H84" s="68">
        <f t="shared" si="34"/>
        <v>13755.6</v>
      </c>
    </row>
    <row r="85" spans="1:8" ht="37.5" x14ac:dyDescent="0.2">
      <c r="A85" s="70"/>
      <c r="B85" s="204" t="s">
        <v>46</v>
      </c>
      <c r="C85" s="71" t="s">
        <v>207</v>
      </c>
      <c r="D85" s="71" t="s">
        <v>103</v>
      </c>
      <c r="E85" s="71" t="s">
        <v>47</v>
      </c>
      <c r="F85" s="69">
        <f>ВСР!G67</f>
        <v>9835.2000000000007</v>
      </c>
      <c r="G85" s="69">
        <f>ВСР!H67</f>
        <v>9005.8000000000011</v>
      </c>
      <c r="H85" s="69">
        <f>ВСР!I67</f>
        <v>13755.6</v>
      </c>
    </row>
    <row r="86" spans="1:8" ht="18.75" x14ac:dyDescent="0.2">
      <c r="A86" s="142" t="s">
        <v>854</v>
      </c>
      <c r="B86" s="206" t="s">
        <v>455</v>
      </c>
      <c r="C86" s="139" t="s">
        <v>207</v>
      </c>
      <c r="D86" s="139" t="s">
        <v>459</v>
      </c>
      <c r="E86" s="139"/>
      <c r="F86" s="68">
        <f>F87</f>
        <v>0</v>
      </c>
      <c r="G86" s="68">
        <f t="shared" ref="G86:H86" si="35">G87</f>
        <v>1673.3</v>
      </c>
      <c r="H86" s="68">
        <f t="shared" si="35"/>
        <v>3884.7</v>
      </c>
    </row>
    <row r="87" spans="1:8" ht="18.75" x14ac:dyDescent="0.2">
      <c r="A87" s="70"/>
      <c r="B87" s="204" t="s">
        <v>49</v>
      </c>
      <c r="C87" s="71" t="s">
        <v>207</v>
      </c>
      <c r="D87" s="71" t="s">
        <v>459</v>
      </c>
      <c r="E87" s="71" t="s">
        <v>50</v>
      </c>
      <c r="F87" s="69">
        <f>ВСР!G69</f>
        <v>0</v>
      </c>
      <c r="G87" s="69">
        <f>ВСР!H69</f>
        <v>1673.3</v>
      </c>
      <c r="H87" s="69">
        <f>ВСР!I69</f>
        <v>3884.7</v>
      </c>
    </row>
    <row r="88" spans="1:8" ht="18.75" x14ac:dyDescent="0.2">
      <c r="A88" s="142" t="s">
        <v>27</v>
      </c>
      <c r="B88" s="206" t="s">
        <v>104</v>
      </c>
      <c r="C88" s="139" t="s">
        <v>208</v>
      </c>
      <c r="D88" s="153"/>
      <c r="E88" s="139"/>
      <c r="F88" s="68">
        <f>F90</f>
        <v>30</v>
      </c>
      <c r="G88" s="68" t="str">
        <f t="shared" ref="G88:H88" si="36">G90</f>
        <v>24,6</v>
      </c>
      <c r="H88" s="68">
        <f t="shared" si="36"/>
        <v>29.2</v>
      </c>
    </row>
    <row r="89" spans="1:8" ht="30.75" customHeight="1" x14ac:dyDescent="0.2">
      <c r="A89" s="142" t="s">
        <v>209</v>
      </c>
      <c r="B89" s="206" t="s">
        <v>106</v>
      </c>
      <c r="C89" s="139" t="s">
        <v>204</v>
      </c>
      <c r="D89" s="153"/>
      <c r="E89" s="139"/>
      <c r="F89" s="68">
        <f>F90</f>
        <v>30</v>
      </c>
      <c r="G89" s="68" t="str">
        <f t="shared" ref="G89:H90" si="37">G90</f>
        <v>24,6</v>
      </c>
      <c r="H89" s="68">
        <f t="shared" si="37"/>
        <v>29.2</v>
      </c>
    </row>
    <row r="90" spans="1:8" ht="57.75" customHeight="1" x14ac:dyDescent="0.2">
      <c r="A90" s="142" t="s">
        <v>210</v>
      </c>
      <c r="B90" s="206" t="s">
        <v>108</v>
      </c>
      <c r="C90" s="139" t="s">
        <v>211</v>
      </c>
      <c r="D90" s="139" t="str">
        <f>[2]ВСР!E79</f>
        <v>41000 00170</v>
      </c>
      <c r="E90" s="139"/>
      <c r="F90" s="68">
        <f>F91</f>
        <v>30</v>
      </c>
      <c r="G90" s="68" t="str">
        <f t="shared" si="37"/>
        <v>24,6</v>
      </c>
      <c r="H90" s="68">
        <f t="shared" si="37"/>
        <v>29.2</v>
      </c>
    </row>
    <row r="91" spans="1:8" ht="37.5" x14ac:dyDescent="0.2">
      <c r="A91" s="70"/>
      <c r="B91" s="204" t="s">
        <v>46</v>
      </c>
      <c r="C91" s="71" t="s">
        <v>211</v>
      </c>
      <c r="D91" s="265" t="s">
        <v>109</v>
      </c>
      <c r="E91" s="71" t="s">
        <v>47</v>
      </c>
      <c r="F91" s="69">
        <f>ВСР!G73</f>
        <v>30</v>
      </c>
      <c r="G91" s="69" t="str">
        <f>ВСР!H73</f>
        <v>24,6</v>
      </c>
      <c r="H91" s="69">
        <f>ВСР!I73</f>
        <v>29.2</v>
      </c>
    </row>
    <row r="92" spans="1:8" ht="18.75" x14ac:dyDescent="0.2">
      <c r="A92" s="142" t="s">
        <v>28</v>
      </c>
      <c r="B92" s="206" t="s">
        <v>110</v>
      </c>
      <c r="C92" s="139" t="s">
        <v>212</v>
      </c>
      <c r="D92" s="153"/>
      <c r="E92" s="139"/>
      <c r="F92" s="68">
        <f>F93+F96</f>
        <v>424.9</v>
      </c>
      <c r="G92" s="68">
        <f t="shared" ref="G92:H92" si="38">G93+G96</f>
        <v>440.7</v>
      </c>
      <c r="H92" s="68">
        <f t="shared" si="38"/>
        <v>466.7</v>
      </c>
    </row>
    <row r="93" spans="1:8" ht="38.450000000000003" customHeight="1" x14ac:dyDescent="0.2">
      <c r="A93" s="142" t="s">
        <v>213</v>
      </c>
      <c r="B93" s="219" t="s">
        <v>112</v>
      </c>
      <c r="C93" s="139" t="s">
        <v>204</v>
      </c>
      <c r="D93" s="153"/>
      <c r="E93" s="139"/>
      <c r="F93" s="68">
        <f>F94</f>
        <v>210</v>
      </c>
      <c r="G93" s="68" t="str">
        <f t="shared" ref="G93:H94" si="39">G94</f>
        <v>221,4</v>
      </c>
      <c r="H93" s="68" t="str">
        <f t="shared" si="39"/>
        <v>233,2</v>
      </c>
    </row>
    <row r="94" spans="1:8" ht="93" customHeight="1" x14ac:dyDescent="0.2">
      <c r="A94" s="142" t="s">
        <v>312</v>
      </c>
      <c r="B94" s="206" t="s">
        <v>116</v>
      </c>
      <c r="C94" s="139" t="s">
        <v>214</v>
      </c>
      <c r="D94" s="153" t="s">
        <v>115</v>
      </c>
      <c r="E94" s="139"/>
      <c r="F94" s="68">
        <f>F95</f>
        <v>210</v>
      </c>
      <c r="G94" s="68" t="str">
        <f t="shared" si="39"/>
        <v>221,4</v>
      </c>
      <c r="H94" s="68" t="str">
        <f t="shared" si="39"/>
        <v>233,2</v>
      </c>
    </row>
    <row r="95" spans="1:8" ht="37.5" x14ac:dyDescent="0.2">
      <c r="A95" s="70"/>
      <c r="B95" s="204" t="s">
        <v>46</v>
      </c>
      <c r="C95" s="71" t="s">
        <v>214</v>
      </c>
      <c r="D95" s="265" t="s">
        <v>115</v>
      </c>
      <c r="E95" s="71" t="s">
        <v>47</v>
      </c>
      <c r="F95" s="69">
        <f>ВСР!G77</f>
        <v>210</v>
      </c>
      <c r="G95" s="69" t="str">
        <f>ВСР!H77</f>
        <v>221,4</v>
      </c>
      <c r="H95" s="69" t="str">
        <f>ВСР!I77</f>
        <v>233,2</v>
      </c>
    </row>
    <row r="96" spans="1:8" ht="23.45" customHeight="1" x14ac:dyDescent="0.2">
      <c r="A96" s="142" t="s">
        <v>215</v>
      </c>
      <c r="B96" s="206" t="s">
        <v>119</v>
      </c>
      <c r="C96" s="139" t="s">
        <v>217</v>
      </c>
      <c r="D96" s="153"/>
      <c r="E96" s="139"/>
      <c r="F96" s="68">
        <f>F97+F99+F101+F105+F103+F107</f>
        <v>214.9</v>
      </c>
      <c r="G96" s="68">
        <f t="shared" ref="G96:H96" si="40">G97+G99+G101+G105+G103+G107</f>
        <v>219.29999999999998</v>
      </c>
      <c r="H96" s="68">
        <f t="shared" si="40"/>
        <v>233.5</v>
      </c>
    </row>
    <row r="97" spans="1:11" ht="72.95" customHeight="1" x14ac:dyDescent="0.2">
      <c r="A97" s="142" t="s">
        <v>216</v>
      </c>
      <c r="B97" s="206" t="s">
        <v>121</v>
      </c>
      <c r="C97" s="139" t="s">
        <v>218</v>
      </c>
      <c r="D97" s="139" t="str">
        <f>[2]ВСР!E90</f>
        <v>79506 00510</v>
      </c>
      <c r="E97" s="139"/>
      <c r="F97" s="68">
        <f>F98</f>
        <v>10</v>
      </c>
      <c r="G97" s="68" t="str">
        <f t="shared" ref="G97:H97" si="41">G98</f>
        <v>10,6</v>
      </c>
      <c r="H97" s="68">
        <f t="shared" si="41"/>
        <v>11.2</v>
      </c>
    </row>
    <row r="98" spans="1:11" ht="37.5" x14ac:dyDescent="0.2">
      <c r="A98" s="70"/>
      <c r="B98" s="204" t="s">
        <v>46</v>
      </c>
      <c r="C98" s="71" t="s">
        <v>218</v>
      </c>
      <c r="D98" s="71" t="str">
        <f>[2]ВСР!E91</f>
        <v>79506 00510</v>
      </c>
      <c r="E98" s="71" t="s">
        <v>47</v>
      </c>
      <c r="F98" s="69">
        <f>ВСР!G82</f>
        <v>10</v>
      </c>
      <c r="G98" s="69" t="str">
        <f>ВСР!H82</f>
        <v>10,6</v>
      </c>
      <c r="H98" s="69">
        <f>ВСР!I82</f>
        <v>11.2</v>
      </c>
    </row>
    <row r="99" spans="1:11" ht="75.75" customHeight="1" x14ac:dyDescent="0.2">
      <c r="A99" s="142" t="s">
        <v>417</v>
      </c>
      <c r="B99" s="300" t="s">
        <v>219</v>
      </c>
      <c r="C99" s="139" t="s">
        <v>218</v>
      </c>
      <c r="D99" s="139" t="str">
        <f>[2]ВСР!E92</f>
        <v>79512 00490</v>
      </c>
      <c r="E99" s="139"/>
      <c r="F99" s="68">
        <f>F100</f>
        <v>65</v>
      </c>
      <c r="G99" s="68" t="str">
        <f t="shared" ref="G99:H99" si="42">G100</f>
        <v>53,8</v>
      </c>
      <c r="H99" s="68">
        <f t="shared" si="42"/>
        <v>63.3</v>
      </c>
    </row>
    <row r="100" spans="1:11" ht="38.450000000000003" customHeight="1" x14ac:dyDescent="0.2">
      <c r="A100" s="70"/>
      <c r="B100" s="204" t="s">
        <v>46</v>
      </c>
      <c r="C100" s="71" t="s">
        <v>218</v>
      </c>
      <c r="D100" s="265" t="s">
        <v>124</v>
      </c>
      <c r="E100" s="71" t="s">
        <v>47</v>
      </c>
      <c r="F100" s="69">
        <f>ВСР!G84</f>
        <v>65</v>
      </c>
      <c r="G100" s="69" t="str">
        <f>ВСР!H84</f>
        <v>53,8</v>
      </c>
      <c r="H100" s="69">
        <f>ВСР!I84</f>
        <v>63.3</v>
      </c>
    </row>
    <row r="101" spans="1:11" ht="112.5" customHeight="1" x14ac:dyDescent="0.2">
      <c r="A101" s="142" t="s">
        <v>419</v>
      </c>
      <c r="B101" s="206" t="s">
        <v>247</v>
      </c>
      <c r="C101" s="139" t="s">
        <v>218</v>
      </c>
      <c r="D101" s="139" t="str">
        <f>[2]ВСР!E94</f>
        <v>79514 00530</v>
      </c>
      <c r="E101" s="139"/>
      <c r="F101" s="68">
        <f>F102</f>
        <v>45</v>
      </c>
      <c r="G101" s="68">
        <f t="shared" ref="G101:H101" si="43">G102</f>
        <v>51</v>
      </c>
      <c r="H101" s="68">
        <f t="shared" si="43"/>
        <v>55</v>
      </c>
    </row>
    <row r="102" spans="1:11" ht="38.1" customHeight="1" x14ac:dyDescent="0.2">
      <c r="A102" s="70"/>
      <c r="B102" s="204" t="s">
        <v>46</v>
      </c>
      <c r="C102" s="71" t="s">
        <v>218</v>
      </c>
      <c r="D102" s="265" t="s">
        <v>125</v>
      </c>
      <c r="E102" s="71" t="s">
        <v>47</v>
      </c>
      <c r="F102" s="69">
        <f>ВСР!G86</f>
        <v>45</v>
      </c>
      <c r="G102" s="69">
        <f>ВСР!H86</f>
        <v>51</v>
      </c>
      <c r="H102" s="69">
        <f>ВСР!I86</f>
        <v>55</v>
      </c>
    </row>
    <row r="103" spans="1:11" ht="74.25" customHeight="1" x14ac:dyDescent="0.2">
      <c r="A103" s="142" t="s">
        <v>421</v>
      </c>
      <c r="B103" s="206" t="s">
        <v>117</v>
      </c>
      <c r="C103" s="139" t="s">
        <v>218</v>
      </c>
      <c r="D103" s="139" t="str">
        <f>[2]ВСР!E87</f>
        <v>79505 00190</v>
      </c>
      <c r="E103" s="139"/>
      <c r="F103" s="68">
        <f>F104</f>
        <v>59.9</v>
      </c>
      <c r="G103" s="68" t="str">
        <f>G104</f>
        <v>66,9</v>
      </c>
      <c r="H103" s="68">
        <f>H104</f>
        <v>64.900000000000006</v>
      </c>
    </row>
    <row r="104" spans="1:11" ht="38.1" customHeight="1" x14ac:dyDescent="0.2">
      <c r="A104" s="70"/>
      <c r="B104" s="204" t="s">
        <v>46</v>
      </c>
      <c r="C104" s="71" t="s">
        <v>218</v>
      </c>
      <c r="D104" s="265" t="s">
        <v>118</v>
      </c>
      <c r="E104" s="71" t="s">
        <v>47</v>
      </c>
      <c r="F104" s="69">
        <f>ВСР!G80</f>
        <v>59.9</v>
      </c>
      <c r="G104" s="69" t="str">
        <f>ВСР!H80</f>
        <v>66,9</v>
      </c>
      <c r="H104" s="69">
        <f>ВСР!I80</f>
        <v>64.900000000000006</v>
      </c>
    </row>
    <row r="105" spans="1:11" ht="132" customHeight="1" x14ac:dyDescent="0.2">
      <c r="A105" s="142" t="s">
        <v>432</v>
      </c>
      <c r="B105" s="154" t="s">
        <v>197</v>
      </c>
      <c r="C105" s="139" t="s">
        <v>218</v>
      </c>
      <c r="D105" s="139" t="str">
        <f>[2]ВСР!E38</f>
        <v>79508 00520</v>
      </c>
      <c r="E105" s="139"/>
      <c r="F105" s="68">
        <f>F106</f>
        <v>10</v>
      </c>
      <c r="G105" s="68">
        <f>G106</f>
        <v>10.6</v>
      </c>
      <c r="H105" s="68">
        <f>H106</f>
        <v>11.2</v>
      </c>
    </row>
    <row r="106" spans="1:11" ht="38.1" customHeight="1" x14ac:dyDescent="0.2">
      <c r="A106" s="70"/>
      <c r="B106" s="204" t="s">
        <v>46</v>
      </c>
      <c r="C106" s="71" t="s">
        <v>218</v>
      </c>
      <c r="D106" s="265" t="s">
        <v>77</v>
      </c>
      <c r="E106" s="71" t="s">
        <v>47</v>
      </c>
      <c r="F106" s="69">
        <f>ВСР!G88</f>
        <v>10</v>
      </c>
      <c r="G106" s="69">
        <f>ВСР!H88</f>
        <v>10.6</v>
      </c>
      <c r="H106" s="69">
        <f>ВСР!I88</f>
        <v>11.2</v>
      </c>
    </row>
    <row r="107" spans="1:11" ht="169.5" customHeight="1" x14ac:dyDescent="0.2">
      <c r="A107" s="142" t="s">
        <v>437</v>
      </c>
      <c r="B107" s="206" t="s">
        <v>440</v>
      </c>
      <c r="C107" s="139" t="s">
        <v>218</v>
      </c>
      <c r="D107" s="139" t="s">
        <v>439</v>
      </c>
      <c r="E107" s="139"/>
      <c r="F107" s="68">
        <f>F108</f>
        <v>25</v>
      </c>
      <c r="G107" s="68">
        <f t="shared" ref="G107:H107" si="44">G108</f>
        <v>26.4</v>
      </c>
      <c r="H107" s="68">
        <f t="shared" si="44"/>
        <v>27.9</v>
      </c>
    </row>
    <row r="108" spans="1:11" ht="38.1" customHeight="1" x14ac:dyDescent="0.2">
      <c r="A108" s="70"/>
      <c r="B108" s="204" t="s">
        <v>46</v>
      </c>
      <c r="C108" s="71" t="s">
        <v>218</v>
      </c>
      <c r="D108" s="71" t="s">
        <v>439</v>
      </c>
      <c r="E108" s="71" t="s">
        <v>47</v>
      </c>
      <c r="F108" s="69">
        <f>ВСР!G90</f>
        <v>25</v>
      </c>
      <c r="G108" s="69">
        <f>ВСР!H90</f>
        <v>26.4</v>
      </c>
      <c r="H108" s="69">
        <f>ВСР!I90</f>
        <v>27.9</v>
      </c>
    </row>
    <row r="109" spans="1:11" ht="19.5" customHeight="1" x14ac:dyDescent="0.2">
      <c r="A109" s="142" t="s">
        <v>181</v>
      </c>
      <c r="B109" s="206" t="s">
        <v>126</v>
      </c>
      <c r="C109" s="139" t="s">
        <v>220</v>
      </c>
      <c r="D109" s="153"/>
      <c r="E109" s="139"/>
      <c r="F109" s="68">
        <f>F110+F115</f>
        <v>8509.4</v>
      </c>
      <c r="G109" s="68">
        <f t="shared" ref="G109:H109" si="45">G110+G115</f>
        <v>8956</v>
      </c>
      <c r="H109" s="68">
        <f t="shared" si="45"/>
        <v>9656.9</v>
      </c>
    </row>
    <row r="110" spans="1:11" ht="21.95" customHeight="1" x14ac:dyDescent="0.2">
      <c r="A110" s="142" t="s">
        <v>221</v>
      </c>
      <c r="B110" s="206" t="s">
        <v>128</v>
      </c>
      <c r="C110" s="139" t="s">
        <v>182</v>
      </c>
      <c r="D110" s="153"/>
      <c r="E110" s="139"/>
      <c r="F110" s="68">
        <f>F111+F113</f>
        <v>7074.5</v>
      </c>
      <c r="G110" s="68">
        <f t="shared" ref="G110:H110" si="46">G111+G113</f>
        <v>7247.2</v>
      </c>
      <c r="H110" s="68">
        <f t="shared" si="46"/>
        <v>8143.3</v>
      </c>
    </row>
    <row r="111" spans="1:11" ht="55.5" customHeight="1" x14ac:dyDescent="0.2">
      <c r="A111" s="142" t="s">
        <v>222</v>
      </c>
      <c r="B111" s="219" t="s">
        <v>223</v>
      </c>
      <c r="C111" s="139" t="s">
        <v>224</v>
      </c>
      <c r="D111" s="139" t="str">
        <f>[2]ВСР!E98</f>
        <v>45011 00200</v>
      </c>
      <c r="E111" s="139"/>
      <c r="F111" s="68">
        <f>F112</f>
        <v>5301</v>
      </c>
      <c r="G111" s="68">
        <f t="shared" ref="G111:H111" si="47">G112</f>
        <v>5343.9</v>
      </c>
      <c r="H111" s="68" t="str">
        <f t="shared" si="47"/>
        <v>6122,8</v>
      </c>
      <c r="K111" s="114"/>
    </row>
    <row r="112" spans="1:11" ht="37.5" x14ac:dyDescent="0.2">
      <c r="A112" s="70"/>
      <c r="B112" s="204" t="s">
        <v>46</v>
      </c>
      <c r="C112" s="71" t="s">
        <v>225</v>
      </c>
      <c r="D112" s="265" t="s">
        <v>132</v>
      </c>
      <c r="E112" s="71" t="s">
        <v>47</v>
      </c>
      <c r="F112" s="69">
        <f>ВСР!G94</f>
        <v>5301</v>
      </c>
      <c r="G112" s="69">
        <f>ВСР!H94</f>
        <v>5343.9</v>
      </c>
      <c r="H112" s="69" t="str">
        <f>ВСР!I94</f>
        <v>6122,8</v>
      </c>
    </row>
    <row r="113" spans="1:10" s="53" customFormat="1" ht="75" customHeight="1" x14ac:dyDescent="0.2">
      <c r="A113" s="142" t="s">
        <v>242</v>
      </c>
      <c r="B113" s="206" t="s">
        <v>179</v>
      </c>
      <c r="C113" s="139" t="s">
        <v>224</v>
      </c>
      <c r="D113" s="139" t="s">
        <v>252</v>
      </c>
      <c r="E113" s="139"/>
      <c r="F113" s="68">
        <f>F114</f>
        <v>1773.5</v>
      </c>
      <c r="G113" s="68">
        <f t="shared" ref="G113:H113" si="48">G114</f>
        <v>1903.3</v>
      </c>
      <c r="H113" s="68">
        <f t="shared" si="48"/>
        <v>2020.5</v>
      </c>
      <c r="J113" s="230"/>
    </row>
    <row r="114" spans="1:10" s="53" customFormat="1" ht="37.5" x14ac:dyDescent="0.2">
      <c r="A114" s="70"/>
      <c r="B114" s="204" t="s">
        <v>46</v>
      </c>
      <c r="C114" s="71" t="s">
        <v>225</v>
      </c>
      <c r="D114" s="71" t="s">
        <v>252</v>
      </c>
      <c r="E114" s="71" t="s">
        <v>47</v>
      </c>
      <c r="F114" s="69">
        <f>ВСР!G96</f>
        <v>1773.5</v>
      </c>
      <c r="G114" s="69">
        <f>ВСР!H96</f>
        <v>1903.3</v>
      </c>
      <c r="H114" s="69">
        <f>ВСР!I96</f>
        <v>2020.5</v>
      </c>
    </row>
    <row r="115" spans="1:10" s="53" customFormat="1" ht="37.5" x14ac:dyDescent="0.2">
      <c r="A115" s="142" t="s">
        <v>226</v>
      </c>
      <c r="B115" s="206" t="s">
        <v>133</v>
      </c>
      <c r="C115" s="139" t="s">
        <v>189</v>
      </c>
      <c r="D115" s="153"/>
      <c r="E115" s="139"/>
      <c r="F115" s="68">
        <f>F116</f>
        <v>1434.9</v>
      </c>
      <c r="G115" s="68" t="str">
        <f t="shared" ref="G115:H116" si="49">G116</f>
        <v>1708,8</v>
      </c>
      <c r="H115" s="68" t="str">
        <f t="shared" si="49"/>
        <v>1513,6</v>
      </c>
    </row>
    <row r="116" spans="1:10" s="53" customFormat="1" ht="53.25" customHeight="1" x14ac:dyDescent="0.2">
      <c r="A116" s="142" t="s">
        <v>227</v>
      </c>
      <c r="B116" s="206" t="s">
        <v>228</v>
      </c>
      <c r="C116" s="139" t="s">
        <v>134</v>
      </c>
      <c r="D116" s="139" t="str">
        <f>[2]ВСР!E101</f>
        <v>45009 00560</v>
      </c>
      <c r="E116" s="139"/>
      <c r="F116" s="68">
        <f>F117</f>
        <v>1434.9</v>
      </c>
      <c r="G116" s="68" t="str">
        <f t="shared" si="49"/>
        <v>1708,8</v>
      </c>
      <c r="H116" s="68" t="str">
        <f t="shared" si="49"/>
        <v>1513,6</v>
      </c>
    </row>
    <row r="117" spans="1:10" s="53" customFormat="1" ht="37.5" x14ac:dyDescent="0.2">
      <c r="A117" s="70"/>
      <c r="B117" s="204" t="s">
        <v>46</v>
      </c>
      <c r="C117" s="71" t="s">
        <v>134</v>
      </c>
      <c r="D117" s="265" t="s">
        <v>136</v>
      </c>
      <c r="E117" s="71" t="s">
        <v>47</v>
      </c>
      <c r="F117" s="69">
        <f>ВСР!G99</f>
        <v>1434.9</v>
      </c>
      <c r="G117" s="69" t="str">
        <f>ВСР!H99</f>
        <v>1708,8</v>
      </c>
      <c r="H117" s="69" t="str">
        <f>ВСР!I99</f>
        <v>1513,6</v>
      </c>
    </row>
    <row r="118" spans="1:10" s="53" customFormat="1" ht="18.75" x14ac:dyDescent="0.2">
      <c r="A118" s="142" t="s">
        <v>229</v>
      </c>
      <c r="B118" s="206" t="s">
        <v>137</v>
      </c>
      <c r="C118" s="139" t="s">
        <v>230</v>
      </c>
      <c r="D118" s="153"/>
      <c r="E118" s="139"/>
      <c r="F118" s="68">
        <f>F122+F119</f>
        <v>7227</v>
      </c>
      <c r="G118" s="68">
        <f t="shared" ref="G118:H118" si="50">G122+G119</f>
        <v>7467.5999999999995</v>
      </c>
      <c r="H118" s="68">
        <f t="shared" si="50"/>
        <v>7914.9</v>
      </c>
    </row>
    <row r="119" spans="1:10" s="53" customFormat="1" ht="18.75" x14ac:dyDescent="0.2">
      <c r="A119" s="139" t="s">
        <v>231</v>
      </c>
      <c r="B119" s="206" t="s">
        <v>443</v>
      </c>
      <c r="C119" s="139" t="s">
        <v>182</v>
      </c>
      <c r="D119" s="153"/>
      <c r="E119" s="139"/>
      <c r="F119" s="68">
        <f>F120</f>
        <v>657.5</v>
      </c>
      <c r="G119" s="68">
        <f t="shared" ref="G119:H120" si="51">G120</f>
        <v>543.70000000000005</v>
      </c>
      <c r="H119" s="68">
        <f t="shared" si="51"/>
        <v>543.70000000000005</v>
      </c>
    </row>
    <row r="120" spans="1:10" s="53" customFormat="1" ht="56.25" x14ac:dyDescent="0.2">
      <c r="A120" s="142"/>
      <c r="B120" s="206" t="s">
        <v>139</v>
      </c>
      <c r="C120" s="139" t="s">
        <v>444</v>
      </c>
      <c r="D120" s="139" t="str">
        <f>[2]ВСР!E105</f>
        <v>50581 00230</v>
      </c>
      <c r="E120" s="139"/>
      <c r="F120" s="68">
        <f>F121</f>
        <v>657.5</v>
      </c>
      <c r="G120" s="68">
        <f t="shared" si="51"/>
        <v>543.70000000000005</v>
      </c>
      <c r="H120" s="68">
        <f t="shared" si="51"/>
        <v>543.70000000000005</v>
      </c>
    </row>
    <row r="121" spans="1:10" ht="18.75" x14ac:dyDescent="0.2">
      <c r="A121" s="70"/>
      <c r="B121" s="204" t="s">
        <v>141</v>
      </c>
      <c r="C121" s="71" t="s">
        <v>444</v>
      </c>
      <c r="D121" s="265" t="s">
        <v>140</v>
      </c>
      <c r="E121" s="71" t="s">
        <v>142</v>
      </c>
      <c r="F121" s="69">
        <f>ВСР!G103</f>
        <v>657.5</v>
      </c>
      <c r="G121" s="69">
        <f>ВСР!H103</f>
        <v>543.70000000000005</v>
      </c>
      <c r="H121" s="69">
        <f>ВСР!I103</f>
        <v>543.70000000000005</v>
      </c>
    </row>
    <row r="122" spans="1:10" ht="18.75" x14ac:dyDescent="0.2">
      <c r="A122" s="142" t="s">
        <v>232</v>
      </c>
      <c r="B122" s="206" t="s">
        <v>233</v>
      </c>
      <c r="C122" s="139" t="s">
        <v>189</v>
      </c>
      <c r="D122" s="153"/>
      <c r="E122" s="139"/>
      <c r="F122" s="68">
        <f>F123+F125</f>
        <v>6569.5</v>
      </c>
      <c r="G122" s="68">
        <f t="shared" ref="G122:H122" si="52">G123+G125</f>
        <v>6923.9</v>
      </c>
      <c r="H122" s="68">
        <f t="shared" si="52"/>
        <v>7371.2</v>
      </c>
    </row>
    <row r="123" spans="1:10" ht="75" customHeight="1" x14ac:dyDescent="0.2">
      <c r="A123" s="142" t="s">
        <v>234</v>
      </c>
      <c r="B123" s="301" t="s">
        <v>145</v>
      </c>
      <c r="C123" s="139" t="s">
        <v>235</v>
      </c>
      <c r="D123" s="139" t="str">
        <f>[2]ВСР!E108</f>
        <v>51100 G0860</v>
      </c>
      <c r="E123" s="139"/>
      <c r="F123" s="68">
        <f>F124</f>
        <v>4276.1000000000004</v>
      </c>
      <c r="G123" s="68">
        <f t="shared" ref="G123:H123" si="53">G124</f>
        <v>4506.8</v>
      </c>
      <c r="H123" s="68">
        <f t="shared" si="53"/>
        <v>4745.8999999999996</v>
      </c>
    </row>
    <row r="124" spans="1:10" ht="21" customHeight="1" x14ac:dyDescent="0.2">
      <c r="A124" s="70"/>
      <c r="B124" s="205" t="s">
        <v>141</v>
      </c>
      <c r="C124" s="71" t="s">
        <v>235</v>
      </c>
      <c r="D124" s="265" t="s">
        <v>146</v>
      </c>
      <c r="E124" s="71" t="s">
        <v>142</v>
      </c>
      <c r="F124" s="69">
        <f>ВСР!G106</f>
        <v>4276.1000000000004</v>
      </c>
      <c r="G124" s="69">
        <f>ВСР!H106</f>
        <v>4506.8</v>
      </c>
      <c r="H124" s="69">
        <f>ВСР!I106</f>
        <v>4745.8999999999996</v>
      </c>
    </row>
    <row r="125" spans="1:10" ht="60.75" customHeight="1" x14ac:dyDescent="0.2">
      <c r="A125" s="142" t="s">
        <v>236</v>
      </c>
      <c r="B125" s="206" t="s">
        <v>147</v>
      </c>
      <c r="C125" s="139" t="s">
        <v>235</v>
      </c>
      <c r="D125" s="139" t="str">
        <f>[2]ВСР!E110</f>
        <v>51100 G0870</v>
      </c>
      <c r="E125" s="139"/>
      <c r="F125" s="68">
        <f>F126</f>
        <v>2293.4</v>
      </c>
      <c r="G125" s="68">
        <f t="shared" ref="G125:H125" si="54">G126</f>
        <v>2417.1</v>
      </c>
      <c r="H125" s="68">
        <f t="shared" si="54"/>
        <v>2625.3</v>
      </c>
    </row>
    <row r="126" spans="1:10" ht="21.95" customHeight="1" x14ac:dyDescent="0.2">
      <c r="A126" s="70"/>
      <c r="B126" s="205" t="s">
        <v>141</v>
      </c>
      <c r="C126" s="71" t="s">
        <v>235</v>
      </c>
      <c r="D126" s="265" t="s">
        <v>148</v>
      </c>
      <c r="E126" s="71" t="s">
        <v>142</v>
      </c>
      <c r="F126" s="69">
        <f>ВСР!G108</f>
        <v>2293.4</v>
      </c>
      <c r="G126" s="69">
        <f>ВСР!H108</f>
        <v>2417.1</v>
      </c>
      <c r="H126" s="69">
        <f>ВСР!I108</f>
        <v>2625.3</v>
      </c>
    </row>
    <row r="127" spans="1:10" ht="17.25" customHeight="1" x14ac:dyDescent="0.2">
      <c r="A127" s="142" t="s">
        <v>237</v>
      </c>
      <c r="B127" s="342" t="s">
        <v>886</v>
      </c>
      <c r="C127" s="139" t="s">
        <v>192</v>
      </c>
      <c r="D127" s="153"/>
      <c r="E127" s="139"/>
      <c r="F127" s="68">
        <f>F128</f>
        <v>40</v>
      </c>
      <c r="G127" s="68" t="str">
        <f t="shared" ref="G127:H129" si="55">G128</f>
        <v>58,7</v>
      </c>
      <c r="H127" s="68">
        <f t="shared" si="55"/>
        <v>64.900000000000006</v>
      </c>
    </row>
    <row r="128" spans="1:10" ht="15.75" customHeight="1" x14ac:dyDescent="0.2">
      <c r="A128" s="142" t="s">
        <v>238</v>
      </c>
      <c r="B128" s="207" t="s">
        <v>887</v>
      </c>
      <c r="C128" s="139" t="s">
        <v>183</v>
      </c>
      <c r="D128" s="153"/>
      <c r="E128" s="139"/>
      <c r="F128" s="68">
        <f>F129</f>
        <v>40</v>
      </c>
      <c r="G128" s="68" t="str">
        <f t="shared" si="55"/>
        <v>58,7</v>
      </c>
      <c r="H128" s="68">
        <f t="shared" si="55"/>
        <v>64.900000000000006</v>
      </c>
    </row>
    <row r="129" spans="1:12" ht="135" customHeight="1" x14ac:dyDescent="0.2">
      <c r="A129" s="142" t="s">
        <v>239</v>
      </c>
      <c r="B129" s="302" t="s">
        <v>176</v>
      </c>
      <c r="C129" s="139" t="s">
        <v>243</v>
      </c>
      <c r="D129" s="153" t="s">
        <v>175</v>
      </c>
      <c r="E129" s="139"/>
      <c r="F129" s="68">
        <f>F130</f>
        <v>40</v>
      </c>
      <c r="G129" s="68" t="str">
        <f t="shared" si="55"/>
        <v>58,7</v>
      </c>
      <c r="H129" s="68">
        <f t="shared" si="55"/>
        <v>64.900000000000006</v>
      </c>
    </row>
    <row r="130" spans="1:12" ht="36" customHeight="1" x14ac:dyDescent="0.2">
      <c r="A130" s="70"/>
      <c r="B130" s="204" t="s">
        <v>46</v>
      </c>
      <c r="C130" s="71" t="s">
        <v>243</v>
      </c>
      <c r="D130" s="265" t="s">
        <v>175</v>
      </c>
      <c r="E130" s="71" t="s">
        <v>47</v>
      </c>
      <c r="F130" s="69">
        <f>ВСР!G112</f>
        <v>40</v>
      </c>
      <c r="G130" s="69" t="str">
        <f>ВСР!H112</f>
        <v>58,7</v>
      </c>
      <c r="H130" s="69">
        <f>ВСР!I112</f>
        <v>64.900000000000006</v>
      </c>
    </row>
    <row r="131" spans="1:12" ht="18.75" x14ac:dyDescent="0.2">
      <c r="A131" s="142" t="s">
        <v>230</v>
      </c>
      <c r="B131" s="206" t="s">
        <v>166</v>
      </c>
      <c r="C131" s="139" t="s">
        <v>201</v>
      </c>
      <c r="D131" s="153"/>
      <c r="E131" s="139"/>
      <c r="F131" s="68">
        <f>F132</f>
        <v>2043.3</v>
      </c>
      <c r="G131" s="68" t="str">
        <f t="shared" ref="G131:H133" si="56">G132</f>
        <v>2592,9</v>
      </c>
      <c r="H131" s="68">
        <f t="shared" si="56"/>
        <v>2730.3</v>
      </c>
    </row>
    <row r="132" spans="1:12" ht="18.75" x14ac:dyDescent="0.2">
      <c r="A132" s="142" t="s">
        <v>244</v>
      </c>
      <c r="B132" s="206" t="s">
        <v>168</v>
      </c>
      <c r="C132" s="139" t="s">
        <v>183</v>
      </c>
      <c r="D132" s="153"/>
      <c r="E132" s="139"/>
      <c r="F132" s="68">
        <f>F133</f>
        <v>2043.3</v>
      </c>
      <c r="G132" s="68" t="str">
        <f t="shared" si="56"/>
        <v>2592,9</v>
      </c>
      <c r="H132" s="68">
        <f t="shared" si="56"/>
        <v>2730.3</v>
      </c>
    </row>
    <row r="133" spans="1:12" ht="185.25" customHeight="1" x14ac:dyDescent="0.2">
      <c r="A133" s="142" t="s">
        <v>245</v>
      </c>
      <c r="B133" s="219" t="s">
        <v>170</v>
      </c>
      <c r="C133" s="139" t="s">
        <v>240</v>
      </c>
      <c r="D133" s="139" t="str">
        <f>[2]ВСР!E131</f>
        <v>45701 00250</v>
      </c>
      <c r="E133" s="139"/>
      <c r="F133" s="68">
        <f>F134</f>
        <v>2043.3</v>
      </c>
      <c r="G133" s="68" t="str">
        <f t="shared" si="56"/>
        <v>2592,9</v>
      </c>
      <c r="H133" s="68">
        <f t="shared" si="56"/>
        <v>2730.3</v>
      </c>
    </row>
    <row r="134" spans="1:12" ht="37.5" x14ac:dyDescent="0.2">
      <c r="A134" s="70"/>
      <c r="B134" s="204" t="s">
        <v>46</v>
      </c>
      <c r="C134" s="71" t="s">
        <v>240</v>
      </c>
      <c r="D134" s="265" t="s">
        <v>171</v>
      </c>
      <c r="E134" s="71" t="s">
        <v>47</v>
      </c>
      <c r="F134" s="69">
        <f>ВСР!G135</f>
        <v>2043.3</v>
      </c>
      <c r="G134" s="69" t="str">
        <f>ВСР!H135</f>
        <v>2592,9</v>
      </c>
      <c r="H134" s="69">
        <f>ВСР!I135</f>
        <v>2730.3</v>
      </c>
    </row>
    <row r="135" spans="1:12" ht="25.5" customHeight="1" x14ac:dyDescent="0.2">
      <c r="A135" s="282"/>
      <c r="B135" s="208" t="s">
        <v>172</v>
      </c>
      <c r="C135" s="283"/>
      <c r="D135" s="284"/>
      <c r="E135" s="283"/>
      <c r="F135" s="343">
        <f>F11+F58+F62+F68+F88+F92+F109+F118+F131+F127</f>
        <v>75392.900000000009</v>
      </c>
      <c r="G135" s="343">
        <f>G11+G58+G62+G68+G88+G92+G109+G118+G131+G127</f>
        <v>74241.2</v>
      </c>
      <c r="H135" s="343">
        <f>H11+H58+H62+H68+H88+H92+H109+H118+H131+H127</f>
        <v>80153.799999999974</v>
      </c>
      <c r="J135" s="114">
        <f>F135-ВСР!G144</f>
        <v>0</v>
      </c>
      <c r="K135" s="114">
        <f>G135-ВСР!H144</f>
        <v>0</v>
      </c>
      <c r="L135" s="114">
        <f>H135-ВСР!I144</f>
        <v>0</v>
      </c>
    </row>
    <row r="136" spans="1:12" ht="18.75" x14ac:dyDescent="0.2">
      <c r="A136" s="199"/>
      <c r="G136" s="189"/>
      <c r="H136" s="189"/>
    </row>
    <row r="137" spans="1:12" ht="18.75" x14ac:dyDescent="0.3">
      <c r="F137" s="190">
        <v>52719.9</v>
      </c>
      <c r="G137" s="189"/>
      <c r="H137" s="189"/>
    </row>
    <row r="138" spans="1:12" x14ac:dyDescent="0.2">
      <c r="G138" s="189"/>
      <c r="H138" s="189"/>
    </row>
    <row r="139" spans="1:12" x14ac:dyDescent="0.2">
      <c r="E139" s="174" t="s">
        <v>241</v>
      </c>
      <c r="F139" s="191">
        <f>F135-F137</f>
        <v>22673.000000000007</v>
      </c>
      <c r="G139" s="189"/>
      <c r="H139" s="189"/>
    </row>
    <row r="140" spans="1:12" x14ac:dyDescent="0.2">
      <c r="G140" s="189"/>
      <c r="H140" s="189"/>
    </row>
    <row r="141" spans="1:12" x14ac:dyDescent="0.2">
      <c r="G141" s="189"/>
      <c r="H141" s="189"/>
    </row>
    <row r="142" spans="1:12" x14ac:dyDescent="0.2">
      <c r="G142" s="189"/>
      <c r="H142" s="189"/>
    </row>
    <row r="143" spans="1:12" x14ac:dyDescent="0.2">
      <c r="G143" s="189"/>
      <c r="H143" s="189"/>
    </row>
    <row r="144" spans="1:12" x14ac:dyDescent="0.2">
      <c r="G144" s="189"/>
      <c r="H144" s="189"/>
    </row>
    <row r="145" spans="6:20" x14ac:dyDescent="0.2">
      <c r="G145" s="192"/>
      <c r="H145" s="192"/>
    </row>
    <row r="146" spans="6:20" x14ac:dyDescent="0.2">
      <c r="F146" s="193"/>
      <c r="G146" s="194"/>
      <c r="H146" s="194"/>
    </row>
    <row r="148" spans="6:20" ht="22.5" x14ac:dyDescent="0.3">
      <c r="F148" s="195"/>
      <c r="T148" s="56"/>
    </row>
    <row r="155" spans="6:20" x14ac:dyDescent="0.2">
      <c r="H155" s="191">
        <f>H135-H123-H125-H31-H33</f>
        <v>70288.199999999983</v>
      </c>
      <c r="J155" s="1">
        <f>H155*0.025</f>
        <v>1757.2049999999997</v>
      </c>
    </row>
  </sheetData>
  <mergeCells count="9">
    <mergeCell ref="F4:H4"/>
    <mergeCell ref="A6:H6"/>
    <mergeCell ref="G8:H8"/>
    <mergeCell ref="A8:A9"/>
    <mergeCell ref="C8:C9"/>
    <mergeCell ref="B8:B9"/>
    <mergeCell ref="D8:D9"/>
    <mergeCell ref="E8:E9"/>
    <mergeCell ref="F8:F9"/>
  </mergeCells>
  <pageMargins left="0.59055118110236227" right="0.39370078740157483" top="0.59055118110236227" bottom="0.39370078740157483" header="0.39370078740157483" footer="0.19685039370078741"/>
  <pageSetup scale="52" fitToHeight="0" orientation="portrait" r:id="rId1"/>
  <headerFooter alignWithMargins="0"/>
  <rowBreaks count="4" manualBreakCount="4">
    <brk id="32" max="7" man="1"/>
    <brk id="61" max="7" man="1"/>
    <brk id="95" max="7" man="1"/>
    <brk id="12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0"/>
  <sheetViews>
    <sheetView tabSelected="1" view="pageBreakPreview" zoomScale="90" zoomScaleNormal="100" zoomScaleSheetLayoutView="90" workbookViewId="0">
      <selection activeCell="A6" sqref="A6:E6"/>
    </sheetView>
  </sheetViews>
  <sheetFormatPr defaultRowHeight="15.75" x14ac:dyDescent="0.25"/>
  <cols>
    <col min="1" max="1" width="44.85546875" style="354" customWidth="1"/>
    <col min="2" max="2" width="33.85546875" style="210" customWidth="1"/>
    <col min="3" max="3" width="15.7109375" style="211" customWidth="1"/>
    <col min="4" max="5" width="15.7109375" style="116" customWidth="1"/>
    <col min="6" max="6" width="23.85546875" style="60" customWidth="1"/>
    <col min="7" max="15" width="9.140625" style="60"/>
  </cols>
  <sheetData>
    <row r="1" spans="1:6" x14ac:dyDescent="0.25">
      <c r="A1" s="353"/>
      <c r="E1" s="212" t="s">
        <v>287</v>
      </c>
    </row>
    <row r="2" spans="1:6" x14ac:dyDescent="0.25">
      <c r="E2" s="80" t="s">
        <v>17</v>
      </c>
    </row>
    <row r="3" spans="1:6" x14ac:dyDescent="0.25">
      <c r="E3" s="80" t="s">
        <v>16</v>
      </c>
    </row>
    <row r="4" spans="1:6" x14ac:dyDescent="0.25">
      <c r="C4" s="418" t="s">
        <v>889</v>
      </c>
      <c r="D4" s="418"/>
      <c r="E4" s="418"/>
    </row>
    <row r="6" spans="1:6" ht="30.75" customHeight="1" x14ac:dyDescent="0.25">
      <c r="A6" s="419" t="s">
        <v>408</v>
      </c>
      <c r="B6" s="419"/>
      <c r="C6" s="419"/>
      <c r="D6" s="419"/>
      <c r="E6" s="419"/>
    </row>
    <row r="7" spans="1:6" x14ac:dyDescent="0.25">
      <c r="E7" s="80" t="s">
        <v>399</v>
      </c>
    </row>
    <row r="8" spans="1:6" ht="47.25" customHeight="1" x14ac:dyDescent="0.25">
      <c r="A8" s="408" t="s">
        <v>255</v>
      </c>
      <c r="B8" s="408" t="s">
        <v>256</v>
      </c>
      <c r="C8" s="407" t="s">
        <v>395</v>
      </c>
      <c r="D8" s="398" t="s">
        <v>396</v>
      </c>
      <c r="E8" s="398"/>
    </row>
    <row r="9" spans="1:6" ht="15.75" customHeight="1" x14ac:dyDescent="0.25">
      <c r="A9" s="408"/>
      <c r="B9" s="408"/>
      <c r="C9" s="407"/>
      <c r="D9" s="224" t="s">
        <v>397</v>
      </c>
      <c r="E9" s="224" t="s">
        <v>398</v>
      </c>
    </row>
    <row r="10" spans="1:6" x14ac:dyDescent="0.25">
      <c r="A10" s="305">
        <v>1</v>
      </c>
      <c r="B10" s="224">
        <v>2</v>
      </c>
      <c r="C10" s="213">
        <v>3</v>
      </c>
      <c r="D10" s="214">
        <v>4</v>
      </c>
      <c r="E10" s="214">
        <v>5</v>
      </c>
    </row>
    <row r="11" spans="1:6" ht="30.75" customHeight="1" x14ac:dyDescent="0.25">
      <c r="A11" s="355" t="s">
        <v>257</v>
      </c>
      <c r="B11" s="215" t="s">
        <v>258</v>
      </c>
      <c r="C11" s="280">
        <f>C12</f>
        <v>4897.5000000000146</v>
      </c>
      <c r="D11" s="280">
        <f t="shared" ref="D11:E11" si="0">D12</f>
        <v>0</v>
      </c>
      <c r="E11" s="280">
        <f t="shared" si="0"/>
        <v>0</v>
      </c>
    </row>
    <row r="12" spans="1:6" ht="31.5" customHeight="1" x14ac:dyDescent="0.25">
      <c r="A12" s="355" t="s">
        <v>259</v>
      </c>
      <c r="B12" s="215" t="s">
        <v>260</v>
      </c>
      <c r="C12" s="280">
        <f>C13+C18</f>
        <v>4897.5000000000146</v>
      </c>
      <c r="D12" s="280">
        <f t="shared" ref="D12:E12" si="1">D13+D18</f>
        <v>0</v>
      </c>
      <c r="E12" s="280">
        <f t="shared" si="1"/>
        <v>0</v>
      </c>
    </row>
    <row r="13" spans="1:6" ht="20.25" customHeight="1" x14ac:dyDescent="0.25">
      <c r="A13" s="355" t="s">
        <v>261</v>
      </c>
      <c r="B13" s="215" t="s">
        <v>262</v>
      </c>
      <c r="C13" s="280">
        <f>C14</f>
        <v>-70495.399999999994</v>
      </c>
      <c r="D13" s="280">
        <f t="shared" ref="D13:E15" si="2">D14</f>
        <v>-74241.200000000012</v>
      </c>
      <c r="E13" s="280">
        <f t="shared" si="2"/>
        <v>-80153.799999999988</v>
      </c>
    </row>
    <row r="14" spans="1:6" ht="28.5" customHeight="1" x14ac:dyDescent="0.25">
      <c r="A14" s="355" t="s">
        <v>263</v>
      </c>
      <c r="B14" s="215" t="s">
        <v>264</v>
      </c>
      <c r="C14" s="280">
        <f>C15</f>
        <v>-70495.399999999994</v>
      </c>
      <c r="D14" s="280">
        <f t="shared" si="2"/>
        <v>-74241.200000000012</v>
      </c>
      <c r="E14" s="280">
        <f t="shared" si="2"/>
        <v>-80153.799999999988</v>
      </c>
    </row>
    <row r="15" spans="1:6" ht="30" customHeight="1" x14ac:dyDescent="0.25">
      <c r="A15" s="355" t="s">
        <v>265</v>
      </c>
      <c r="B15" s="215" t="s">
        <v>266</v>
      </c>
      <c r="C15" s="280">
        <f>C16</f>
        <v>-70495.399999999994</v>
      </c>
      <c r="D15" s="280">
        <f t="shared" si="2"/>
        <v>-74241.200000000012</v>
      </c>
      <c r="E15" s="280">
        <f t="shared" si="2"/>
        <v>-80153.799999999988</v>
      </c>
    </row>
    <row r="16" spans="1:6" ht="60" customHeight="1" x14ac:dyDescent="0.25">
      <c r="A16" s="355" t="s">
        <v>267</v>
      </c>
      <c r="B16" s="215" t="s">
        <v>268</v>
      </c>
      <c r="C16" s="280">
        <f>-'Новые доходы'!E60</f>
        <v>-70495.399999999994</v>
      </c>
      <c r="D16" s="280">
        <f>-'Новые доходы'!F60</f>
        <v>-74241.200000000012</v>
      </c>
      <c r="E16" s="280">
        <f>-'Новые доходы'!G60</f>
        <v>-80153.799999999988</v>
      </c>
      <c r="F16" s="116"/>
    </row>
    <row r="17" spans="1:5" ht="20.25" customHeight="1" x14ac:dyDescent="0.25">
      <c r="A17" s="355" t="s">
        <v>315</v>
      </c>
      <c r="B17" s="215" t="s">
        <v>316</v>
      </c>
      <c r="C17" s="280">
        <f>C18</f>
        <v>75392.900000000009</v>
      </c>
      <c r="D17" s="280">
        <f t="shared" ref="D17:E19" si="3">D18</f>
        <v>74241.2</v>
      </c>
      <c r="E17" s="280">
        <f t="shared" si="3"/>
        <v>80153.799999999974</v>
      </c>
    </row>
    <row r="18" spans="1:5" ht="29.25" customHeight="1" x14ac:dyDescent="0.25">
      <c r="A18" s="355" t="s">
        <v>269</v>
      </c>
      <c r="B18" s="215" t="s">
        <v>270</v>
      </c>
      <c r="C18" s="280">
        <f>C19</f>
        <v>75392.900000000009</v>
      </c>
      <c r="D18" s="280">
        <f t="shared" si="3"/>
        <v>74241.2</v>
      </c>
      <c r="E18" s="280">
        <f t="shared" si="3"/>
        <v>80153.799999999974</v>
      </c>
    </row>
    <row r="19" spans="1:5" ht="30.75" customHeight="1" x14ac:dyDescent="0.25">
      <c r="A19" s="355" t="s">
        <v>271</v>
      </c>
      <c r="B19" s="215" t="s">
        <v>272</v>
      </c>
      <c r="C19" s="280">
        <f>C20</f>
        <v>75392.900000000009</v>
      </c>
      <c r="D19" s="280">
        <f t="shared" si="3"/>
        <v>74241.2</v>
      </c>
      <c r="E19" s="280">
        <f t="shared" si="3"/>
        <v>80153.799999999974</v>
      </c>
    </row>
    <row r="20" spans="1:5" ht="60" customHeight="1" x14ac:dyDescent="0.25">
      <c r="A20" s="355" t="s">
        <v>273</v>
      </c>
      <c r="B20" s="215" t="s">
        <v>274</v>
      </c>
      <c r="C20" s="280">
        <f>'Распр бюдж ассигн'!F135</f>
        <v>75392.900000000009</v>
      </c>
      <c r="D20" s="280">
        <f>'Распр бюдж ассигн'!G135</f>
        <v>74241.2</v>
      </c>
      <c r="E20" s="280">
        <f>'Распр бюдж ассигн'!H135</f>
        <v>80153.799999999974</v>
      </c>
    </row>
  </sheetData>
  <mergeCells count="6">
    <mergeCell ref="C4:E4"/>
    <mergeCell ref="C8:C9"/>
    <mergeCell ref="B8:B9"/>
    <mergeCell ref="A8:A9"/>
    <mergeCell ref="D8:E8"/>
    <mergeCell ref="A6:E6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84"/>
  <sheetViews>
    <sheetView view="pageBreakPreview" zoomScale="60" zoomScaleNormal="70" workbookViewId="0">
      <selection activeCell="G14" sqref="G14"/>
    </sheetView>
  </sheetViews>
  <sheetFormatPr defaultRowHeight="18.75" x14ac:dyDescent="0.3"/>
  <cols>
    <col min="1" max="1" width="23.42578125" style="217" customWidth="1"/>
    <col min="2" max="2" width="67.85546875" style="148" customWidth="1"/>
    <col min="3" max="3" width="10" customWidth="1"/>
    <col min="4" max="4" width="13.28515625" customWidth="1"/>
    <col min="5" max="5" width="17" customWidth="1"/>
    <col min="6" max="7" width="15.140625" customWidth="1"/>
    <col min="8" max="8" width="17.140625" customWidth="1"/>
    <col min="9" max="10" width="17.140625" style="130" customWidth="1"/>
    <col min="11" max="11" width="15.28515625" style="170" customWidth="1"/>
    <col min="12" max="12" width="12.5703125" customWidth="1"/>
    <col min="13" max="13" width="15.42578125" customWidth="1"/>
  </cols>
  <sheetData>
    <row r="1" spans="1:24" ht="25.5" x14ac:dyDescent="0.35">
      <c r="A1" s="216"/>
      <c r="B1" s="218"/>
      <c r="C1" s="126"/>
      <c r="D1" s="313" t="s">
        <v>472</v>
      </c>
      <c r="G1" s="127"/>
      <c r="H1" s="128"/>
      <c r="I1" s="128"/>
      <c r="J1" s="128"/>
      <c r="M1" s="128"/>
    </row>
    <row r="2" spans="1:24" ht="25.5" x14ac:dyDescent="0.35">
      <c r="A2" s="216"/>
      <c r="B2" s="218"/>
      <c r="C2" s="126"/>
      <c r="D2" s="314" t="s">
        <v>473</v>
      </c>
      <c r="G2" s="4"/>
      <c r="H2" s="4"/>
      <c r="I2" s="4"/>
      <c r="J2" s="4"/>
      <c r="M2" s="4"/>
    </row>
    <row r="3" spans="1:24" ht="25.5" x14ac:dyDescent="0.35">
      <c r="A3" s="216"/>
      <c r="B3" s="218"/>
      <c r="C3" s="126"/>
      <c r="D3" s="315" t="s">
        <v>474</v>
      </c>
      <c r="G3" s="127"/>
      <c r="H3" s="127"/>
      <c r="I3" s="127"/>
      <c r="J3" s="127"/>
      <c r="M3" s="127"/>
    </row>
    <row r="4" spans="1:24" ht="25.5" x14ac:dyDescent="0.35">
      <c r="A4" s="216"/>
      <c r="B4" s="218"/>
      <c r="C4" s="126"/>
      <c r="D4" s="316" t="s">
        <v>841</v>
      </c>
      <c r="G4" s="129"/>
      <c r="H4" s="129"/>
      <c r="I4" s="129"/>
      <c r="J4" s="129"/>
      <c r="M4" s="129"/>
    </row>
    <row r="5" spans="1:24" ht="18" x14ac:dyDescent="0.25">
      <c r="A5" s="216"/>
      <c r="B5" s="218"/>
      <c r="C5" s="126"/>
      <c r="D5" s="126"/>
      <c r="E5" s="126"/>
      <c r="F5" s="126"/>
      <c r="G5" s="126"/>
      <c r="H5" s="126"/>
      <c r="I5" s="126"/>
      <c r="J5" s="126"/>
      <c r="M5" s="126"/>
    </row>
    <row r="6" spans="1:24" ht="44.25" customHeight="1" x14ac:dyDescent="0.25">
      <c r="A6" s="411" t="s">
        <v>885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24" x14ac:dyDescent="0.25">
      <c r="A7" s="412" t="s">
        <v>20</v>
      </c>
      <c r="B7" s="412" t="s">
        <v>21</v>
      </c>
      <c r="C7" s="412" t="s">
        <v>22</v>
      </c>
      <c r="D7" s="412" t="s">
        <v>406</v>
      </c>
      <c r="E7" s="412" t="s">
        <v>23</v>
      </c>
      <c r="F7" s="412" t="s">
        <v>24</v>
      </c>
      <c r="G7" s="412" t="s">
        <v>475</v>
      </c>
      <c r="H7" s="409" t="s">
        <v>476</v>
      </c>
      <c r="I7" s="413" t="s">
        <v>477</v>
      </c>
      <c r="J7" s="413"/>
      <c r="M7" s="409"/>
    </row>
    <row r="8" spans="1:24" ht="15.75" x14ac:dyDescent="0.25">
      <c r="A8" s="412"/>
      <c r="B8" s="412"/>
      <c r="C8" s="412"/>
      <c r="D8" s="412"/>
      <c r="E8" s="412"/>
      <c r="F8" s="412"/>
      <c r="G8" s="412"/>
      <c r="H8" s="409"/>
      <c r="I8" s="131" t="s">
        <v>478</v>
      </c>
      <c r="J8" s="131" t="s">
        <v>479</v>
      </c>
      <c r="M8" s="409"/>
    </row>
    <row r="9" spans="1:24" ht="15.75" x14ac:dyDescent="0.25">
      <c r="A9" s="226">
        <v>1</v>
      </c>
      <c r="B9" s="227">
        <v>2</v>
      </c>
      <c r="C9" s="228" t="s">
        <v>25</v>
      </c>
      <c r="D9" s="228" t="s">
        <v>26</v>
      </c>
      <c r="E9" s="228" t="s">
        <v>27</v>
      </c>
      <c r="F9" s="228" t="s">
        <v>28</v>
      </c>
      <c r="G9" s="228" t="s">
        <v>181</v>
      </c>
      <c r="H9" s="229">
        <v>8</v>
      </c>
      <c r="I9" s="132">
        <v>9</v>
      </c>
      <c r="J9" s="132">
        <v>10</v>
      </c>
      <c r="M9" s="229">
        <v>8</v>
      </c>
    </row>
    <row r="10" spans="1:24" ht="81" x14ac:dyDescent="0.25">
      <c r="A10" s="243" t="s">
        <v>29</v>
      </c>
      <c r="B10" s="221" t="s">
        <v>254</v>
      </c>
      <c r="C10" s="371">
        <v>903</v>
      </c>
      <c r="D10" s="244"/>
      <c r="E10" s="244"/>
      <c r="F10" s="244"/>
      <c r="G10" s="244"/>
      <c r="H10" s="245">
        <f>H11+H122+H189+H198+H110</f>
        <v>44623</v>
      </c>
      <c r="I10" s="245">
        <f>I11+I122+I189+I198+I110</f>
        <v>41286</v>
      </c>
      <c r="J10" s="245">
        <f>J11+J122+J189+J198+J110</f>
        <v>48170.200000000004</v>
      </c>
      <c r="K10" s="287" t="s">
        <v>851</v>
      </c>
      <c r="M10" s="245">
        <v>44623</v>
      </c>
    </row>
    <row r="11" spans="1:24" ht="20.25" x14ac:dyDescent="0.25">
      <c r="A11" s="372" t="s">
        <v>30</v>
      </c>
      <c r="B11" s="361" t="s">
        <v>31</v>
      </c>
      <c r="C11" s="372" t="s">
        <v>10</v>
      </c>
      <c r="D11" s="372" t="s">
        <v>32</v>
      </c>
      <c r="E11" s="372"/>
      <c r="F11" s="372"/>
      <c r="G11" s="372"/>
      <c r="H11" s="246">
        <f>H12+H86+H91</f>
        <v>17264</v>
      </c>
      <c r="I11" s="246">
        <f>I12+I86+I91</f>
        <v>16604</v>
      </c>
      <c r="J11" s="246">
        <f>J12+J86+J91</f>
        <v>17148.600000000002</v>
      </c>
      <c r="K11" s="287" t="s">
        <v>851</v>
      </c>
      <c r="M11" s="269">
        <v>17264</v>
      </c>
    </row>
    <row r="12" spans="1:24" ht="75" x14ac:dyDescent="0.25">
      <c r="A12" s="247" t="s">
        <v>33</v>
      </c>
      <c r="B12" s="356" t="s">
        <v>34</v>
      </c>
      <c r="C12" s="247" t="s">
        <v>10</v>
      </c>
      <c r="D12" s="247" t="s">
        <v>35</v>
      </c>
      <c r="E12" s="247"/>
      <c r="F12" s="247"/>
      <c r="G12" s="247"/>
      <c r="H12" s="248">
        <f>H13+H22+H63+H69</f>
        <v>16715.400000000001</v>
      </c>
      <c r="I12" s="248">
        <f>I13+I22+I63+I69</f>
        <v>16029.3</v>
      </c>
      <c r="J12" s="248">
        <f>J13+J22+J63+J69</f>
        <v>16546.400000000001</v>
      </c>
      <c r="K12" s="148"/>
      <c r="M12" s="248">
        <v>16715.400000000001</v>
      </c>
      <c r="X12" t="s">
        <v>827</v>
      </c>
    </row>
    <row r="13" spans="1:24" x14ac:dyDescent="0.25">
      <c r="A13" s="139" t="s">
        <v>36</v>
      </c>
      <c r="B13" s="219" t="s">
        <v>37</v>
      </c>
      <c r="C13" s="139" t="s">
        <v>10</v>
      </c>
      <c r="D13" s="139" t="s">
        <v>35</v>
      </c>
      <c r="E13" s="139" t="s">
        <v>38</v>
      </c>
      <c r="F13" s="139"/>
      <c r="G13" s="139"/>
      <c r="H13" s="68">
        <f>H14</f>
        <v>1217</v>
      </c>
      <c r="I13" s="68">
        <f t="shared" ref="I13:J14" si="0">I14</f>
        <v>1091.8</v>
      </c>
      <c r="J13" s="68">
        <f t="shared" si="0"/>
        <v>1125.3</v>
      </c>
      <c r="K13" s="148"/>
      <c r="M13" s="68">
        <v>1217</v>
      </c>
    </row>
    <row r="14" spans="1:24" ht="93.75" x14ac:dyDescent="0.25">
      <c r="A14" s="139" t="s">
        <v>2</v>
      </c>
      <c r="B14" s="219" t="s">
        <v>39</v>
      </c>
      <c r="C14" s="139" t="s">
        <v>10</v>
      </c>
      <c r="D14" s="139" t="s">
        <v>35</v>
      </c>
      <c r="E14" s="139" t="s">
        <v>38</v>
      </c>
      <c r="F14" s="139" t="s">
        <v>40</v>
      </c>
      <c r="G14" s="139"/>
      <c r="H14" s="68">
        <f>H15</f>
        <v>1217</v>
      </c>
      <c r="I14" s="68">
        <f t="shared" si="0"/>
        <v>1091.8</v>
      </c>
      <c r="J14" s="68">
        <f t="shared" si="0"/>
        <v>1125.3</v>
      </c>
      <c r="K14" s="148"/>
      <c r="M14" s="67">
        <v>1217</v>
      </c>
    </row>
    <row r="15" spans="1:24" ht="37.5" x14ac:dyDescent="0.25">
      <c r="A15" s="139" t="s">
        <v>325</v>
      </c>
      <c r="B15" s="219" t="s">
        <v>480</v>
      </c>
      <c r="C15" s="139" t="s">
        <v>10</v>
      </c>
      <c r="D15" s="139" t="s">
        <v>35</v>
      </c>
      <c r="E15" s="139" t="s">
        <v>38</v>
      </c>
      <c r="F15" s="139" t="s">
        <v>481</v>
      </c>
      <c r="G15" s="139"/>
      <c r="H15" s="68">
        <f>H16+H19</f>
        <v>1217</v>
      </c>
      <c r="I15" s="68">
        <f t="shared" ref="I15:J15" si="1">I16+I19</f>
        <v>1091.8</v>
      </c>
      <c r="J15" s="68">
        <f t="shared" si="1"/>
        <v>1125.3</v>
      </c>
      <c r="K15" s="148"/>
      <c r="M15" s="67">
        <v>1217</v>
      </c>
    </row>
    <row r="16" spans="1:24" ht="56.25" x14ac:dyDescent="0.25">
      <c r="A16" s="139" t="s">
        <v>482</v>
      </c>
      <c r="B16" s="219" t="s">
        <v>483</v>
      </c>
      <c r="C16" s="139" t="s">
        <v>10</v>
      </c>
      <c r="D16" s="139" t="s">
        <v>35</v>
      </c>
      <c r="E16" s="139" t="s">
        <v>38</v>
      </c>
      <c r="F16" s="139" t="s">
        <v>484</v>
      </c>
      <c r="G16" s="139"/>
      <c r="H16" s="68">
        <f>H17</f>
        <v>935.2</v>
      </c>
      <c r="I16" s="68">
        <f t="shared" ref="I16:J16" si="2">I17</f>
        <v>838.5</v>
      </c>
      <c r="J16" s="68">
        <f t="shared" si="2"/>
        <v>838.5</v>
      </c>
      <c r="K16" s="148"/>
      <c r="M16" s="67">
        <v>935.2</v>
      </c>
    </row>
    <row r="17" spans="1:13" ht="37.5" x14ac:dyDescent="0.25">
      <c r="A17" s="139" t="s">
        <v>485</v>
      </c>
      <c r="B17" s="219" t="s">
        <v>486</v>
      </c>
      <c r="C17" s="139" t="s">
        <v>10</v>
      </c>
      <c r="D17" s="139" t="s">
        <v>35</v>
      </c>
      <c r="E17" s="139" t="s">
        <v>38</v>
      </c>
      <c r="F17" s="139" t="s">
        <v>484</v>
      </c>
      <c r="G17" s="139" t="s">
        <v>487</v>
      </c>
      <c r="H17" s="68">
        <f>SUM(H18:H18)</f>
        <v>935.2</v>
      </c>
      <c r="I17" s="68">
        <f t="shared" ref="I17:J17" si="3">SUM(I18:I18)</f>
        <v>838.5</v>
      </c>
      <c r="J17" s="68">
        <f t="shared" si="3"/>
        <v>838.5</v>
      </c>
      <c r="K17" s="148"/>
      <c r="M17" s="67">
        <v>935.2</v>
      </c>
    </row>
    <row r="18" spans="1:13" x14ac:dyDescent="0.25">
      <c r="A18" s="71" t="s">
        <v>488</v>
      </c>
      <c r="B18" s="145" t="s">
        <v>489</v>
      </c>
      <c r="C18" s="71" t="s">
        <v>10</v>
      </c>
      <c r="D18" s="71" t="s">
        <v>35</v>
      </c>
      <c r="E18" s="71" t="s">
        <v>38</v>
      </c>
      <c r="F18" s="71" t="s">
        <v>484</v>
      </c>
      <c r="G18" s="71" t="s">
        <v>490</v>
      </c>
      <c r="H18" s="69">
        <f>838.5+96.7</f>
        <v>935.2</v>
      </c>
      <c r="I18" s="249">
        <v>838.5</v>
      </c>
      <c r="J18" s="249">
        <v>838.5</v>
      </c>
      <c r="K18" s="148"/>
      <c r="M18" s="238">
        <v>935.2</v>
      </c>
    </row>
    <row r="19" spans="1:13" ht="75" x14ac:dyDescent="0.25">
      <c r="A19" s="139" t="s">
        <v>491</v>
      </c>
      <c r="B19" s="219" t="s">
        <v>492</v>
      </c>
      <c r="C19" s="139" t="s">
        <v>10</v>
      </c>
      <c r="D19" s="139" t="s">
        <v>35</v>
      </c>
      <c r="E19" s="139" t="s">
        <v>38</v>
      </c>
      <c r="F19" s="139" t="s">
        <v>493</v>
      </c>
      <c r="G19" s="139"/>
      <c r="H19" s="68">
        <f>H20</f>
        <v>281.8</v>
      </c>
      <c r="I19" s="68">
        <f t="shared" ref="I19:J20" si="4">I20</f>
        <v>253.3</v>
      </c>
      <c r="J19" s="68">
        <f t="shared" si="4"/>
        <v>286.8</v>
      </c>
      <c r="K19" s="148"/>
      <c r="M19" s="67">
        <v>281.8</v>
      </c>
    </row>
    <row r="20" spans="1:13" ht="37.5" x14ac:dyDescent="0.25">
      <c r="A20" s="139" t="s">
        <v>491</v>
      </c>
      <c r="B20" s="219" t="s">
        <v>494</v>
      </c>
      <c r="C20" s="139" t="s">
        <v>10</v>
      </c>
      <c r="D20" s="139" t="s">
        <v>35</v>
      </c>
      <c r="E20" s="139" t="s">
        <v>38</v>
      </c>
      <c r="F20" s="139" t="s">
        <v>493</v>
      </c>
      <c r="G20" s="139" t="s">
        <v>487</v>
      </c>
      <c r="H20" s="68">
        <f>H21</f>
        <v>281.8</v>
      </c>
      <c r="I20" s="68">
        <f t="shared" si="4"/>
        <v>253.3</v>
      </c>
      <c r="J20" s="68">
        <f t="shared" si="4"/>
        <v>286.8</v>
      </c>
      <c r="K20" s="148"/>
      <c r="M20" s="67">
        <v>281.8</v>
      </c>
    </row>
    <row r="21" spans="1:13" x14ac:dyDescent="0.25">
      <c r="A21" s="71" t="s">
        <v>491</v>
      </c>
      <c r="B21" s="145" t="s">
        <v>495</v>
      </c>
      <c r="C21" s="71" t="s">
        <v>10</v>
      </c>
      <c r="D21" s="71" t="s">
        <v>35</v>
      </c>
      <c r="E21" s="71" t="s">
        <v>38</v>
      </c>
      <c r="F21" s="71" t="s">
        <v>493</v>
      </c>
      <c r="G21" s="71" t="s">
        <v>496</v>
      </c>
      <c r="H21" s="69">
        <f>252.6+29.2</f>
        <v>281.8</v>
      </c>
      <c r="I21" s="249">
        <v>253.3</v>
      </c>
      <c r="J21" s="249">
        <v>286.8</v>
      </c>
      <c r="K21" s="148"/>
      <c r="M21" s="238">
        <v>281.8</v>
      </c>
    </row>
    <row r="22" spans="1:13" ht="75" x14ac:dyDescent="0.25">
      <c r="A22" s="139" t="s">
        <v>41</v>
      </c>
      <c r="B22" s="219" t="s">
        <v>42</v>
      </c>
      <c r="C22" s="139" t="s">
        <v>10</v>
      </c>
      <c r="D22" s="139" t="s">
        <v>35</v>
      </c>
      <c r="E22" s="139" t="s">
        <v>43</v>
      </c>
      <c r="F22" s="139"/>
      <c r="G22" s="139"/>
      <c r="H22" s="68">
        <f>H23+H34+H52</f>
        <v>13093.400000000001</v>
      </c>
      <c r="I22" s="68">
        <f t="shared" ref="I22:J22" si="5">I23+I34+I52</f>
        <v>12521.9</v>
      </c>
      <c r="J22" s="68">
        <f t="shared" si="5"/>
        <v>12926.7</v>
      </c>
      <c r="K22" s="148"/>
      <c r="M22" s="68">
        <v>13093.400000000001</v>
      </c>
    </row>
    <row r="23" spans="1:13" ht="93.75" x14ac:dyDescent="0.25">
      <c r="A23" s="139" t="s">
        <v>44</v>
      </c>
      <c r="B23" s="219" t="s">
        <v>39</v>
      </c>
      <c r="C23" s="139" t="s">
        <v>10</v>
      </c>
      <c r="D23" s="139" t="s">
        <v>35</v>
      </c>
      <c r="E23" s="139" t="s">
        <v>43</v>
      </c>
      <c r="F23" s="139" t="s">
        <v>40</v>
      </c>
      <c r="G23" s="139"/>
      <c r="H23" s="68">
        <f>H24</f>
        <v>10533.7</v>
      </c>
      <c r="I23" s="68">
        <f>I24</f>
        <v>9888.2999999999993</v>
      </c>
      <c r="J23" s="68">
        <f t="shared" ref="J23" si="6">J24</f>
        <v>10192</v>
      </c>
      <c r="K23" s="148"/>
      <c r="M23" s="68">
        <v>10533.7</v>
      </c>
    </row>
    <row r="24" spans="1:13" ht="37.5" x14ac:dyDescent="0.25">
      <c r="A24" s="139" t="s">
        <v>62</v>
      </c>
      <c r="B24" s="219" t="s">
        <v>480</v>
      </c>
      <c r="C24" s="139" t="s">
        <v>10</v>
      </c>
      <c r="D24" s="139" t="s">
        <v>35</v>
      </c>
      <c r="E24" s="139" t="s">
        <v>43</v>
      </c>
      <c r="F24" s="139" t="s">
        <v>481</v>
      </c>
      <c r="G24" s="139"/>
      <c r="H24" s="68">
        <f>H25+H31+H28</f>
        <v>10533.7</v>
      </c>
      <c r="I24" s="68">
        <f>I25+I31+I28</f>
        <v>9888.2999999999993</v>
      </c>
      <c r="J24" s="68">
        <f>J25+J31+J28</f>
        <v>10192</v>
      </c>
      <c r="K24" s="148"/>
      <c r="M24" s="68">
        <v>10533.7</v>
      </c>
    </row>
    <row r="25" spans="1:13" ht="56.25" x14ac:dyDescent="0.25">
      <c r="A25" s="139" t="s">
        <v>342</v>
      </c>
      <c r="B25" s="219" t="s">
        <v>483</v>
      </c>
      <c r="C25" s="139" t="s">
        <v>10</v>
      </c>
      <c r="D25" s="139" t="s">
        <v>35</v>
      </c>
      <c r="E25" s="139" t="s">
        <v>43</v>
      </c>
      <c r="F25" s="139" t="s">
        <v>484</v>
      </c>
      <c r="G25" s="139"/>
      <c r="H25" s="68">
        <f>H26</f>
        <v>8089.0999999999995</v>
      </c>
      <c r="I25" s="68">
        <f t="shared" ref="I25" si="7">I26</f>
        <v>7594.2</v>
      </c>
      <c r="J25" s="68">
        <f>J26</f>
        <v>7594.2</v>
      </c>
      <c r="K25" s="148"/>
      <c r="M25" s="68">
        <v>8089.0999999999995</v>
      </c>
    </row>
    <row r="26" spans="1:13" ht="37.5" x14ac:dyDescent="0.25">
      <c r="A26" s="139" t="s">
        <v>497</v>
      </c>
      <c r="B26" s="219" t="s">
        <v>486</v>
      </c>
      <c r="C26" s="139" t="s">
        <v>10</v>
      </c>
      <c r="D26" s="139" t="s">
        <v>35</v>
      </c>
      <c r="E26" s="139" t="s">
        <v>43</v>
      </c>
      <c r="F26" s="139" t="s">
        <v>484</v>
      </c>
      <c r="G26" s="139" t="s">
        <v>487</v>
      </c>
      <c r="H26" s="68">
        <f>SUM(H27:H27)</f>
        <v>8089.0999999999995</v>
      </c>
      <c r="I26" s="68">
        <f t="shared" ref="I26:J26" si="8">SUM(I27:I27)</f>
        <v>7594.2</v>
      </c>
      <c r="J26" s="68">
        <f t="shared" si="8"/>
        <v>7594.2</v>
      </c>
      <c r="K26" s="148"/>
      <c r="M26" s="68">
        <v>8089.0999999999995</v>
      </c>
    </row>
    <row r="27" spans="1:13" x14ac:dyDescent="0.25">
      <c r="A27" s="71" t="s">
        <v>498</v>
      </c>
      <c r="B27" s="145" t="s">
        <v>489</v>
      </c>
      <c r="C27" s="71" t="s">
        <v>10</v>
      </c>
      <c r="D27" s="71" t="s">
        <v>35</v>
      </c>
      <c r="E27" s="71" t="s">
        <v>43</v>
      </c>
      <c r="F27" s="71" t="s">
        <v>484</v>
      </c>
      <c r="G27" s="71" t="s">
        <v>490</v>
      </c>
      <c r="H27" s="69">
        <f>7594.2+494.9</f>
        <v>8089.0999999999995</v>
      </c>
      <c r="I27" s="250">
        <v>7594.2</v>
      </c>
      <c r="J27" s="250">
        <v>7594.2</v>
      </c>
      <c r="K27" s="148"/>
      <c r="M27" s="69">
        <v>8089.0999999999995</v>
      </c>
    </row>
    <row r="28" spans="1:13" ht="75" x14ac:dyDescent="0.25">
      <c r="A28" s="139" t="s">
        <v>499</v>
      </c>
      <c r="B28" s="219" t="s">
        <v>492</v>
      </c>
      <c r="C28" s="139" t="s">
        <v>10</v>
      </c>
      <c r="D28" s="139" t="s">
        <v>35</v>
      </c>
      <c r="E28" s="139" t="s">
        <v>43</v>
      </c>
      <c r="F28" s="139" t="s">
        <v>493</v>
      </c>
      <c r="G28" s="139"/>
      <c r="H28" s="68">
        <f>H29</f>
        <v>2443</v>
      </c>
      <c r="I28" s="68">
        <f t="shared" ref="I28:J29" si="9">I29</f>
        <v>2293.5</v>
      </c>
      <c r="J28" s="68">
        <f t="shared" si="9"/>
        <v>2597.1999999999998</v>
      </c>
      <c r="K28" s="148"/>
      <c r="M28" s="68">
        <v>2443</v>
      </c>
    </row>
    <row r="29" spans="1:13" ht="37.5" x14ac:dyDescent="0.25">
      <c r="A29" s="139" t="s">
        <v>499</v>
      </c>
      <c r="B29" s="219" t="s">
        <v>486</v>
      </c>
      <c r="C29" s="139" t="s">
        <v>10</v>
      </c>
      <c r="D29" s="139" t="s">
        <v>35</v>
      </c>
      <c r="E29" s="139" t="s">
        <v>43</v>
      </c>
      <c r="F29" s="139" t="s">
        <v>493</v>
      </c>
      <c r="G29" s="139" t="s">
        <v>487</v>
      </c>
      <c r="H29" s="68">
        <f>H30</f>
        <v>2443</v>
      </c>
      <c r="I29" s="68">
        <f t="shared" si="9"/>
        <v>2293.5</v>
      </c>
      <c r="J29" s="68">
        <f t="shared" si="9"/>
        <v>2597.1999999999998</v>
      </c>
      <c r="K29" s="148"/>
      <c r="M29" s="68">
        <v>2443</v>
      </c>
    </row>
    <row r="30" spans="1:13" x14ac:dyDescent="0.25">
      <c r="A30" s="71" t="s">
        <v>499</v>
      </c>
      <c r="B30" s="145" t="s">
        <v>495</v>
      </c>
      <c r="C30" s="71" t="s">
        <v>10</v>
      </c>
      <c r="D30" s="71" t="s">
        <v>35</v>
      </c>
      <c r="E30" s="71" t="s">
        <v>43</v>
      </c>
      <c r="F30" s="71" t="s">
        <v>493</v>
      </c>
      <c r="G30" s="71" t="s">
        <v>496</v>
      </c>
      <c r="H30" s="69">
        <f>2293.5+149.5</f>
        <v>2443</v>
      </c>
      <c r="I30" s="250">
        <v>2293.5</v>
      </c>
      <c r="J30" s="250">
        <v>2597.1999999999998</v>
      </c>
      <c r="K30" s="148"/>
      <c r="M30" s="69">
        <v>2443</v>
      </c>
    </row>
    <row r="31" spans="1:13" ht="56.25" x14ac:dyDescent="0.25">
      <c r="A31" s="139" t="s">
        <v>500</v>
      </c>
      <c r="B31" s="219" t="s">
        <v>501</v>
      </c>
      <c r="C31" s="139" t="s">
        <v>10</v>
      </c>
      <c r="D31" s="139" t="s">
        <v>35</v>
      </c>
      <c r="E31" s="139" t="s">
        <v>43</v>
      </c>
      <c r="F31" s="139" t="s">
        <v>502</v>
      </c>
      <c r="G31" s="139" t="s">
        <v>827</v>
      </c>
      <c r="H31" s="68">
        <f>H32</f>
        <v>1.6</v>
      </c>
      <c r="I31" s="68">
        <f t="shared" ref="I31:J32" si="10">I32</f>
        <v>0.6</v>
      </c>
      <c r="J31" s="68">
        <f t="shared" si="10"/>
        <v>0.6</v>
      </c>
      <c r="K31" s="148"/>
      <c r="M31" s="68">
        <v>1.6</v>
      </c>
    </row>
    <row r="32" spans="1:13" ht="37.5" x14ac:dyDescent="0.25">
      <c r="A32" s="139" t="s">
        <v>503</v>
      </c>
      <c r="B32" s="219" t="s">
        <v>486</v>
      </c>
      <c r="C32" s="139" t="s">
        <v>10</v>
      </c>
      <c r="D32" s="139" t="s">
        <v>35</v>
      </c>
      <c r="E32" s="139" t="s">
        <v>43</v>
      </c>
      <c r="F32" s="139" t="s">
        <v>502</v>
      </c>
      <c r="G32" s="139" t="s">
        <v>487</v>
      </c>
      <c r="H32" s="68">
        <f>H33</f>
        <v>1.6</v>
      </c>
      <c r="I32" s="68">
        <f t="shared" si="10"/>
        <v>0.6</v>
      </c>
      <c r="J32" s="68">
        <f t="shared" si="10"/>
        <v>0.6</v>
      </c>
      <c r="K32" s="148"/>
      <c r="M32" s="68">
        <v>1.6</v>
      </c>
    </row>
    <row r="33" spans="1:13" x14ac:dyDescent="0.25">
      <c r="A33" s="71" t="s">
        <v>504</v>
      </c>
      <c r="B33" s="145" t="s">
        <v>505</v>
      </c>
      <c r="C33" s="71" t="s">
        <v>10</v>
      </c>
      <c r="D33" s="71" t="s">
        <v>35</v>
      </c>
      <c r="E33" s="71" t="s">
        <v>43</v>
      </c>
      <c r="F33" s="71" t="s">
        <v>502</v>
      </c>
      <c r="G33" s="71" t="s">
        <v>506</v>
      </c>
      <c r="H33" s="69">
        <f>0.6+K33</f>
        <v>1.6</v>
      </c>
      <c r="I33" s="69">
        <v>0.6</v>
      </c>
      <c r="J33" s="69">
        <v>0.6</v>
      </c>
      <c r="K33" s="232">
        <v>1</v>
      </c>
      <c r="M33" s="69">
        <v>1.6</v>
      </c>
    </row>
    <row r="34" spans="1:13" ht="37.5" x14ac:dyDescent="0.25">
      <c r="A34" s="139" t="s">
        <v>45</v>
      </c>
      <c r="B34" s="357" t="s">
        <v>46</v>
      </c>
      <c r="C34" s="139" t="s">
        <v>10</v>
      </c>
      <c r="D34" s="139" t="s">
        <v>35</v>
      </c>
      <c r="E34" s="139" t="s">
        <v>43</v>
      </c>
      <c r="F34" s="139" t="s">
        <v>47</v>
      </c>
      <c r="G34" s="139"/>
      <c r="H34" s="68">
        <f>H35</f>
        <v>2525.9000000000005</v>
      </c>
      <c r="I34" s="68">
        <f t="shared" ref="I34:J34" si="11">I35</f>
        <v>2612.4</v>
      </c>
      <c r="J34" s="68">
        <f t="shared" si="11"/>
        <v>2713.5</v>
      </c>
      <c r="K34" s="148"/>
      <c r="M34" s="68">
        <v>2525.9000000000005</v>
      </c>
    </row>
    <row r="35" spans="1:13" ht="56.25" x14ac:dyDescent="0.25">
      <c r="A35" s="139" t="s">
        <v>288</v>
      </c>
      <c r="B35" s="358" t="s">
        <v>507</v>
      </c>
      <c r="C35" s="139" t="s">
        <v>10</v>
      </c>
      <c r="D35" s="139" t="s">
        <v>35</v>
      </c>
      <c r="E35" s="139" t="s">
        <v>43</v>
      </c>
      <c r="F35" s="139" t="s">
        <v>508</v>
      </c>
      <c r="G35" s="139"/>
      <c r="H35" s="68">
        <f>H36+H43</f>
        <v>2525.9000000000005</v>
      </c>
      <c r="I35" s="68">
        <f t="shared" ref="I35:J35" si="12">I36+I43</f>
        <v>2612.4</v>
      </c>
      <c r="J35" s="68">
        <f t="shared" si="12"/>
        <v>2713.5</v>
      </c>
      <c r="K35" s="148"/>
      <c r="M35" s="67">
        <v>2525.9000000000005</v>
      </c>
    </row>
    <row r="36" spans="1:13" ht="37.5" x14ac:dyDescent="0.25">
      <c r="A36" s="139" t="s">
        <v>346</v>
      </c>
      <c r="B36" s="358" t="s">
        <v>509</v>
      </c>
      <c r="C36" s="139" t="s">
        <v>10</v>
      </c>
      <c r="D36" s="139" t="s">
        <v>35</v>
      </c>
      <c r="E36" s="139" t="s">
        <v>43</v>
      </c>
      <c r="F36" s="139" t="s">
        <v>510</v>
      </c>
      <c r="G36" s="139"/>
      <c r="H36" s="68">
        <f>H37+H40</f>
        <v>1313.5000000000002</v>
      </c>
      <c r="I36" s="68">
        <f t="shared" ref="I36:J36" si="13">I37+I40</f>
        <v>1412.3000000000002</v>
      </c>
      <c r="J36" s="68">
        <f t="shared" si="13"/>
        <v>1486.2</v>
      </c>
      <c r="K36" s="148"/>
      <c r="M36" s="67">
        <v>1313.5000000000002</v>
      </c>
    </row>
    <row r="37" spans="1:13" x14ac:dyDescent="0.25">
      <c r="A37" s="139" t="s">
        <v>348</v>
      </c>
      <c r="B37" s="219" t="s">
        <v>511</v>
      </c>
      <c r="C37" s="139" t="s">
        <v>10</v>
      </c>
      <c r="D37" s="139" t="s">
        <v>35</v>
      </c>
      <c r="E37" s="139" t="s">
        <v>43</v>
      </c>
      <c r="F37" s="139" t="s">
        <v>510</v>
      </c>
      <c r="G37" s="139" t="s">
        <v>512</v>
      </c>
      <c r="H37" s="68">
        <f>SUM(H38:H39)</f>
        <v>1186.1000000000001</v>
      </c>
      <c r="I37" s="68">
        <f t="shared" ref="I37:J37" si="14">SUM(I38:I39)</f>
        <v>1278.4000000000001</v>
      </c>
      <c r="J37" s="68">
        <f t="shared" si="14"/>
        <v>1346.2</v>
      </c>
      <c r="K37" s="148"/>
      <c r="M37" s="67">
        <v>1186.1000000000001</v>
      </c>
    </row>
    <row r="38" spans="1:13" x14ac:dyDescent="0.25">
      <c r="A38" s="71" t="s">
        <v>513</v>
      </c>
      <c r="B38" s="145" t="s">
        <v>514</v>
      </c>
      <c r="C38" s="71" t="s">
        <v>10</v>
      </c>
      <c r="D38" s="71" t="s">
        <v>35</v>
      </c>
      <c r="E38" s="71" t="s">
        <v>43</v>
      </c>
      <c r="F38" s="71" t="s">
        <v>510</v>
      </c>
      <c r="G38" s="71" t="s">
        <v>515</v>
      </c>
      <c r="H38" s="69">
        <v>28.4</v>
      </c>
      <c r="I38" s="91">
        <v>29.9</v>
      </c>
      <c r="J38" s="91">
        <v>31.5</v>
      </c>
      <c r="K38" s="148"/>
      <c r="M38" s="238">
        <v>28.4</v>
      </c>
    </row>
    <row r="39" spans="1:13" x14ac:dyDescent="0.25">
      <c r="A39" s="71" t="s">
        <v>516</v>
      </c>
      <c r="B39" s="145" t="s">
        <v>517</v>
      </c>
      <c r="C39" s="71" t="s">
        <v>10</v>
      </c>
      <c r="D39" s="71" t="s">
        <v>35</v>
      </c>
      <c r="E39" s="71" t="s">
        <v>43</v>
      </c>
      <c r="F39" s="71" t="s">
        <v>510</v>
      </c>
      <c r="G39" s="71" t="s">
        <v>518</v>
      </c>
      <c r="H39" s="69">
        <v>1157.7</v>
      </c>
      <c r="I39" s="91">
        <v>1248.5</v>
      </c>
      <c r="J39" s="91">
        <v>1314.7</v>
      </c>
      <c r="K39" s="148"/>
      <c r="M39" s="270">
        <v>1157.7</v>
      </c>
    </row>
    <row r="40" spans="1:13" x14ac:dyDescent="0.25">
      <c r="A40" s="139" t="s">
        <v>519</v>
      </c>
      <c r="B40" s="219" t="s">
        <v>520</v>
      </c>
      <c r="C40" s="139" t="s">
        <v>10</v>
      </c>
      <c r="D40" s="139" t="s">
        <v>35</v>
      </c>
      <c r="E40" s="139" t="s">
        <v>43</v>
      </c>
      <c r="F40" s="139" t="s">
        <v>510</v>
      </c>
      <c r="G40" s="139" t="s">
        <v>142</v>
      </c>
      <c r="H40" s="68">
        <f>H41+H42</f>
        <v>127.4</v>
      </c>
      <c r="I40" s="68">
        <f t="shared" ref="I40:J40" si="15">I41+I42</f>
        <v>133.9</v>
      </c>
      <c r="J40" s="68">
        <f t="shared" si="15"/>
        <v>140</v>
      </c>
      <c r="K40" s="148"/>
      <c r="M40" s="68">
        <v>127.4</v>
      </c>
    </row>
    <row r="41" spans="1:13" x14ac:dyDescent="0.25">
      <c r="A41" s="71" t="s">
        <v>521</v>
      </c>
      <c r="B41" s="145" t="s">
        <v>522</v>
      </c>
      <c r="C41" s="71" t="s">
        <v>10</v>
      </c>
      <c r="D41" s="71" t="s">
        <v>35</v>
      </c>
      <c r="E41" s="71" t="s">
        <v>43</v>
      </c>
      <c r="F41" s="71" t="s">
        <v>510</v>
      </c>
      <c r="G41" s="71" t="s">
        <v>523</v>
      </c>
      <c r="H41" s="69">
        <v>68.2</v>
      </c>
      <c r="I41" s="91">
        <v>27</v>
      </c>
      <c r="J41" s="91">
        <v>27.4</v>
      </c>
      <c r="K41" s="148"/>
      <c r="M41" s="69">
        <v>68.2</v>
      </c>
    </row>
    <row r="42" spans="1:13" x14ac:dyDescent="0.25">
      <c r="A42" s="71" t="s">
        <v>524</v>
      </c>
      <c r="B42" s="145" t="s">
        <v>525</v>
      </c>
      <c r="C42" s="71" t="s">
        <v>10</v>
      </c>
      <c r="D42" s="71" t="s">
        <v>35</v>
      </c>
      <c r="E42" s="71" t="s">
        <v>43</v>
      </c>
      <c r="F42" s="71" t="s">
        <v>510</v>
      </c>
      <c r="G42" s="71" t="s">
        <v>526</v>
      </c>
      <c r="H42" s="69">
        <v>59.2</v>
      </c>
      <c r="I42" s="91">
        <v>106.9</v>
      </c>
      <c r="J42" s="91">
        <v>112.6</v>
      </c>
      <c r="K42" s="148"/>
      <c r="M42" s="69">
        <v>59.2</v>
      </c>
    </row>
    <row r="43" spans="1:13" ht="56.25" x14ac:dyDescent="0.25">
      <c r="A43" s="139" t="s">
        <v>519</v>
      </c>
      <c r="B43" s="219" t="s">
        <v>527</v>
      </c>
      <c r="C43" s="139" t="s">
        <v>10</v>
      </c>
      <c r="D43" s="139" t="s">
        <v>35</v>
      </c>
      <c r="E43" s="139" t="s">
        <v>43</v>
      </c>
      <c r="F43" s="139" t="s">
        <v>528</v>
      </c>
      <c r="G43" s="139"/>
      <c r="H43" s="68">
        <f>H44+H49</f>
        <v>1212.4000000000001</v>
      </c>
      <c r="I43" s="68">
        <f t="shared" ref="I43:J43" si="16">I44+I49</f>
        <v>1200.0999999999999</v>
      </c>
      <c r="J43" s="68">
        <f t="shared" si="16"/>
        <v>1227.3</v>
      </c>
      <c r="K43" s="148"/>
      <c r="M43" s="68">
        <v>1212.4000000000001</v>
      </c>
    </row>
    <row r="44" spans="1:13" x14ac:dyDescent="0.25">
      <c r="A44" s="139" t="s">
        <v>521</v>
      </c>
      <c r="B44" s="219" t="s">
        <v>511</v>
      </c>
      <c r="C44" s="139" t="s">
        <v>10</v>
      </c>
      <c r="D44" s="139" t="s">
        <v>35</v>
      </c>
      <c r="E44" s="139" t="s">
        <v>43</v>
      </c>
      <c r="F44" s="139" t="s">
        <v>528</v>
      </c>
      <c r="G44" s="139" t="s">
        <v>512</v>
      </c>
      <c r="H44" s="68">
        <f>+SUM(H45:H48)</f>
        <v>439.6</v>
      </c>
      <c r="I44" s="68">
        <f t="shared" ref="I44:J44" si="17">+SUM(I45:I48)</f>
        <v>461</v>
      </c>
      <c r="J44" s="68">
        <f t="shared" si="17"/>
        <v>485.5</v>
      </c>
      <c r="K44" s="148"/>
      <c r="M44" s="68">
        <v>439.6</v>
      </c>
    </row>
    <row r="45" spans="1:13" x14ac:dyDescent="0.25">
      <c r="A45" s="71" t="s">
        <v>529</v>
      </c>
      <c r="B45" s="145" t="s">
        <v>514</v>
      </c>
      <c r="C45" s="71" t="s">
        <v>10</v>
      </c>
      <c r="D45" s="71" t="s">
        <v>35</v>
      </c>
      <c r="E45" s="71" t="s">
        <v>43</v>
      </c>
      <c r="F45" s="71" t="s">
        <v>528</v>
      </c>
      <c r="G45" s="71" t="s">
        <v>515</v>
      </c>
      <c r="H45" s="69">
        <v>74</v>
      </c>
      <c r="I45" s="251">
        <v>78</v>
      </c>
      <c r="J45" s="251">
        <v>82.1</v>
      </c>
      <c r="K45" s="148"/>
      <c r="M45" s="69">
        <v>74</v>
      </c>
    </row>
    <row r="46" spans="1:13" x14ac:dyDescent="0.25">
      <c r="A46" s="71" t="s">
        <v>530</v>
      </c>
      <c r="B46" s="145" t="s">
        <v>531</v>
      </c>
      <c r="C46" s="71" t="s">
        <v>10</v>
      </c>
      <c r="D46" s="71" t="s">
        <v>35</v>
      </c>
      <c r="E46" s="71" t="s">
        <v>43</v>
      </c>
      <c r="F46" s="71" t="s">
        <v>528</v>
      </c>
      <c r="G46" s="71" t="s">
        <v>532</v>
      </c>
      <c r="H46" s="69">
        <v>21.2</v>
      </c>
      <c r="I46" s="251">
        <v>22.3</v>
      </c>
      <c r="J46" s="251">
        <v>23.5</v>
      </c>
      <c r="K46" s="148"/>
      <c r="M46" s="69">
        <v>21.2</v>
      </c>
    </row>
    <row r="47" spans="1:13" x14ac:dyDescent="0.25">
      <c r="A47" s="71" t="s">
        <v>533</v>
      </c>
      <c r="B47" s="145" t="s">
        <v>534</v>
      </c>
      <c r="C47" s="71" t="s">
        <v>10</v>
      </c>
      <c r="D47" s="71" t="s">
        <v>35</v>
      </c>
      <c r="E47" s="71" t="s">
        <v>43</v>
      </c>
      <c r="F47" s="71" t="s">
        <v>528</v>
      </c>
      <c r="G47" s="71" t="s">
        <v>535</v>
      </c>
      <c r="H47" s="69">
        <v>150</v>
      </c>
      <c r="I47" s="251">
        <v>158.1</v>
      </c>
      <c r="J47" s="251">
        <v>166.5</v>
      </c>
      <c r="K47" s="148"/>
      <c r="M47" s="69">
        <v>150</v>
      </c>
    </row>
    <row r="48" spans="1:13" x14ac:dyDescent="0.25">
      <c r="A48" s="71" t="s">
        <v>536</v>
      </c>
      <c r="B48" s="145" t="s">
        <v>517</v>
      </c>
      <c r="C48" s="71" t="s">
        <v>10</v>
      </c>
      <c r="D48" s="71" t="s">
        <v>35</v>
      </c>
      <c r="E48" s="71" t="s">
        <v>43</v>
      </c>
      <c r="F48" s="71" t="s">
        <v>528</v>
      </c>
      <c r="G48" s="71" t="s">
        <v>518</v>
      </c>
      <c r="H48" s="69">
        <v>194.4</v>
      </c>
      <c r="I48" s="251">
        <v>202.6</v>
      </c>
      <c r="J48" s="251">
        <v>213.4</v>
      </c>
      <c r="K48" s="148"/>
      <c r="M48" s="69">
        <v>194.4</v>
      </c>
    </row>
    <row r="49" spans="1:13" x14ac:dyDescent="0.25">
      <c r="A49" s="139" t="s">
        <v>524</v>
      </c>
      <c r="B49" s="219" t="s">
        <v>520</v>
      </c>
      <c r="C49" s="139" t="s">
        <v>10</v>
      </c>
      <c r="D49" s="139" t="s">
        <v>35</v>
      </c>
      <c r="E49" s="139" t="s">
        <v>43</v>
      </c>
      <c r="F49" s="139" t="s">
        <v>528</v>
      </c>
      <c r="G49" s="139" t="s">
        <v>142</v>
      </c>
      <c r="H49" s="68">
        <f>SUM(H50:H51)</f>
        <v>772.8</v>
      </c>
      <c r="I49" s="68">
        <f t="shared" ref="I49:J49" si="18">SUM(I50:I51)</f>
        <v>739.1</v>
      </c>
      <c r="J49" s="68">
        <f t="shared" si="18"/>
        <v>741.8</v>
      </c>
      <c r="K49" s="148"/>
      <c r="M49" s="68">
        <v>772.8</v>
      </c>
    </row>
    <row r="50" spans="1:13" x14ac:dyDescent="0.25">
      <c r="A50" s="71" t="s">
        <v>537</v>
      </c>
      <c r="B50" s="145" t="s">
        <v>522</v>
      </c>
      <c r="C50" s="71" t="s">
        <v>10</v>
      </c>
      <c r="D50" s="71" t="s">
        <v>35</v>
      </c>
      <c r="E50" s="71" t="s">
        <v>43</v>
      </c>
      <c r="F50" s="71" t="s">
        <v>528</v>
      </c>
      <c r="G50" s="71" t="s">
        <v>523</v>
      </c>
      <c r="H50" s="69">
        <v>140.5</v>
      </c>
      <c r="I50" s="249">
        <v>54.4</v>
      </c>
      <c r="J50" s="249">
        <v>44.3</v>
      </c>
      <c r="K50" s="148"/>
      <c r="M50" s="69">
        <v>140.5</v>
      </c>
    </row>
    <row r="51" spans="1:13" x14ac:dyDescent="0.25">
      <c r="A51" s="71" t="s">
        <v>538</v>
      </c>
      <c r="B51" s="145" t="s">
        <v>525</v>
      </c>
      <c r="C51" s="71" t="s">
        <v>10</v>
      </c>
      <c r="D51" s="71" t="s">
        <v>35</v>
      </c>
      <c r="E51" s="71" t="s">
        <v>43</v>
      </c>
      <c r="F51" s="71" t="s">
        <v>528</v>
      </c>
      <c r="G51" s="71" t="s">
        <v>526</v>
      </c>
      <c r="H51" s="69">
        <v>632.29999999999995</v>
      </c>
      <c r="I51" s="249">
        <v>684.7</v>
      </c>
      <c r="J51" s="249">
        <v>697.5</v>
      </c>
      <c r="K51" s="148"/>
      <c r="M51" s="69">
        <v>632.29999999999995</v>
      </c>
    </row>
    <row r="52" spans="1:13" x14ac:dyDescent="0.25">
      <c r="A52" s="139" t="s">
        <v>48</v>
      </c>
      <c r="B52" s="219" t="s">
        <v>49</v>
      </c>
      <c r="C52" s="139" t="s">
        <v>10</v>
      </c>
      <c r="D52" s="139" t="s">
        <v>35</v>
      </c>
      <c r="E52" s="139" t="s">
        <v>43</v>
      </c>
      <c r="F52" s="139" t="s">
        <v>50</v>
      </c>
      <c r="G52" s="139"/>
      <c r="H52" s="68">
        <f>H56+H53</f>
        <v>33.799999999999997</v>
      </c>
      <c r="I52" s="68">
        <f t="shared" ref="I52:J52" si="19">I56+I55</f>
        <v>21.2</v>
      </c>
      <c r="J52" s="68">
        <f t="shared" si="19"/>
        <v>21.2</v>
      </c>
      <c r="K52" s="148"/>
      <c r="M52" s="68">
        <v>33.799999999999997</v>
      </c>
    </row>
    <row r="53" spans="1:13" x14ac:dyDescent="0.25">
      <c r="A53" s="139" t="s">
        <v>307</v>
      </c>
      <c r="B53" s="219" t="s">
        <v>844</v>
      </c>
      <c r="C53" s="139" t="s">
        <v>10</v>
      </c>
      <c r="D53" s="139" t="s">
        <v>35</v>
      </c>
      <c r="E53" s="139" t="s">
        <v>43</v>
      </c>
      <c r="F53" s="139" t="s">
        <v>843</v>
      </c>
      <c r="G53" s="139"/>
      <c r="H53" s="68">
        <f>H54</f>
        <v>12.6</v>
      </c>
      <c r="I53" s="68">
        <f t="shared" ref="I53:J54" si="20">I54</f>
        <v>0</v>
      </c>
      <c r="J53" s="68">
        <f t="shared" si="20"/>
        <v>0</v>
      </c>
      <c r="K53" s="286" t="s">
        <v>851</v>
      </c>
      <c r="M53" s="68">
        <v>12.6</v>
      </c>
    </row>
    <row r="54" spans="1:13" ht="118.5" customHeight="1" x14ac:dyDescent="0.25">
      <c r="A54" s="139" t="s">
        <v>541</v>
      </c>
      <c r="B54" s="359" t="s">
        <v>888</v>
      </c>
      <c r="C54" s="139" t="s">
        <v>10</v>
      </c>
      <c r="D54" s="139" t="s">
        <v>35</v>
      </c>
      <c r="E54" s="139" t="s">
        <v>43</v>
      </c>
      <c r="F54" s="139" t="s">
        <v>842</v>
      </c>
      <c r="G54" s="139"/>
      <c r="H54" s="68">
        <f>H55</f>
        <v>12.6</v>
      </c>
      <c r="I54" s="68">
        <f t="shared" si="20"/>
        <v>0</v>
      </c>
      <c r="J54" s="68">
        <f t="shared" si="20"/>
        <v>0</v>
      </c>
      <c r="K54" s="148"/>
      <c r="M54" s="68">
        <v>12.6</v>
      </c>
    </row>
    <row r="55" spans="1:13" x14ac:dyDescent="0.25">
      <c r="A55" s="71" t="s">
        <v>544</v>
      </c>
      <c r="B55" s="145" t="s">
        <v>845</v>
      </c>
      <c r="C55" s="71" t="s">
        <v>10</v>
      </c>
      <c r="D55" s="71" t="s">
        <v>35</v>
      </c>
      <c r="E55" s="71" t="s">
        <v>43</v>
      </c>
      <c r="F55" s="71" t="s">
        <v>842</v>
      </c>
      <c r="G55" s="71" t="s">
        <v>839</v>
      </c>
      <c r="H55" s="69">
        <f>K55</f>
        <v>12.6</v>
      </c>
      <c r="I55" s="69">
        <v>0</v>
      </c>
      <c r="J55" s="69">
        <v>0</v>
      </c>
      <c r="K55" s="232">
        <v>12.6</v>
      </c>
      <c r="M55" s="69">
        <v>12.6</v>
      </c>
    </row>
    <row r="56" spans="1:13" x14ac:dyDescent="0.25">
      <c r="A56" s="139" t="s">
        <v>308</v>
      </c>
      <c r="B56" s="219" t="s">
        <v>539</v>
      </c>
      <c r="C56" s="139" t="s">
        <v>10</v>
      </c>
      <c r="D56" s="139" t="s">
        <v>35</v>
      </c>
      <c r="E56" s="139" t="s">
        <v>43</v>
      </c>
      <c r="F56" s="139" t="s">
        <v>540</v>
      </c>
      <c r="G56" s="139"/>
      <c r="H56" s="68">
        <f>H57+H59+H61</f>
        <v>21.2</v>
      </c>
      <c r="I56" s="68">
        <f t="shared" ref="I56:J56" si="21">I57+I59+I61</f>
        <v>21.2</v>
      </c>
      <c r="J56" s="68">
        <f t="shared" si="21"/>
        <v>21.2</v>
      </c>
      <c r="K56" s="148"/>
      <c r="M56" s="68">
        <v>21.2</v>
      </c>
    </row>
    <row r="57" spans="1:13" ht="37.5" x14ac:dyDescent="0.25">
      <c r="A57" s="139" t="s">
        <v>754</v>
      </c>
      <c r="B57" s="219" t="s">
        <v>542</v>
      </c>
      <c r="C57" s="139" t="s">
        <v>10</v>
      </c>
      <c r="D57" s="139" t="s">
        <v>35</v>
      </c>
      <c r="E57" s="139" t="s">
        <v>43</v>
      </c>
      <c r="F57" s="139" t="s">
        <v>543</v>
      </c>
      <c r="G57" s="139"/>
      <c r="H57" s="68">
        <f>H58</f>
        <v>16</v>
      </c>
      <c r="I57" s="68">
        <f t="shared" ref="I57:J57" si="22">I58</f>
        <v>16</v>
      </c>
      <c r="J57" s="68">
        <f t="shared" si="22"/>
        <v>16</v>
      </c>
      <c r="K57" s="148"/>
      <c r="M57" s="68">
        <v>16</v>
      </c>
    </row>
    <row r="58" spans="1:13" x14ac:dyDescent="0.25">
      <c r="A58" s="71" t="s">
        <v>755</v>
      </c>
      <c r="B58" s="145" t="s">
        <v>545</v>
      </c>
      <c r="C58" s="71" t="s">
        <v>10</v>
      </c>
      <c r="D58" s="71" t="s">
        <v>35</v>
      </c>
      <c r="E58" s="71" t="s">
        <v>43</v>
      </c>
      <c r="F58" s="71" t="s">
        <v>543</v>
      </c>
      <c r="G58" s="71" t="s">
        <v>837</v>
      </c>
      <c r="H58" s="69">
        <v>16</v>
      </c>
      <c r="I58" s="69">
        <v>16</v>
      </c>
      <c r="J58" s="69">
        <v>16</v>
      </c>
      <c r="K58" s="148"/>
      <c r="M58" s="69">
        <v>16</v>
      </c>
    </row>
    <row r="59" spans="1:13" x14ac:dyDescent="0.25">
      <c r="A59" s="139" t="s">
        <v>846</v>
      </c>
      <c r="B59" s="219" t="s">
        <v>546</v>
      </c>
      <c r="C59" s="139" t="s">
        <v>10</v>
      </c>
      <c r="D59" s="139" t="s">
        <v>35</v>
      </c>
      <c r="E59" s="139" t="s">
        <v>43</v>
      </c>
      <c r="F59" s="139" t="s">
        <v>547</v>
      </c>
      <c r="G59" s="139"/>
      <c r="H59" s="68">
        <f>H60</f>
        <v>4.9000000000000004</v>
      </c>
      <c r="I59" s="68">
        <f t="shared" ref="I59:J59" si="23">I60</f>
        <v>4.9000000000000004</v>
      </c>
      <c r="J59" s="68">
        <f t="shared" si="23"/>
        <v>4.9000000000000004</v>
      </c>
      <c r="K59" s="148"/>
      <c r="M59" s="68">
        <v>4.9000000000000004</v>
      </c>
    </row>
    <row r="60" spans="1:13" x14ac:dyDescent="0.25">
      <c r="A60" s="71" t="s">
        <v>847</v>
      </c>
      <c r="B60" s="145" t="s">
        <v>545</v>
      </c>
      <c r="C60" s="71" t="s">
        <v>10</v>
      </c>
      <c r="D60" s="71" t="s">
        <v>35</v>
      </c>
      <c r="E60" s="71" t="s">
        <v>43</v>
      </c>
      <c r="F60" s="71" t="s">
        <v>547</v>
      </c>
      <c r="G60" s="71" t="s">
        <v>837</v>
      </c>
      <c r="H60" s="69">
        <v>4.9000000000000004</v>
      </c>
      <c r="I60" s="69">
        <v>4.9000000000000004</v>
      </c>
      <c r="J60" s="69">
        <v>4.9000000000000004</v>
      </c>
      <c r="K60" s="148"/>
      <c r="M60" s="238">
        <v>4.9000000000000004</v>
      </c>
    </row>
    <row r="61" spans="1:13" x14ac:dyDescent="0.25">
      <c r="A61" s="139" t="s">
        <v>848</v>
      </c>
      <c r="B61" s="219" t="s">
        <v>548</v>
      </c>
      <c r="C61" s="139" t="s">
        <v>10</v>
      </c>
      <c r="D61" s="139" t="s">
        <v>35</v>
      </c>
      <c r="E61" s="139" t="s">
        <v>43</v>
      </c>
      <c r="F61" s="139" t="s">
        <v>549</v>
      </c>
      <c r="G61" s="71"/>
      <c r="H61" s="68">
        <f>H62</f>
        <v>0.3</v>
      </c>
      <c r="I61" s="68">
        <f t="shared" ref="I61:J61" si="24">I62</f>
        <v>0.3</v>
      </c>
      <c r="J61" s="68">
        <f t="shared" si="24"/>
        <v>0.3</v>
      </c>
      <c r="K61" s="148"/>
      <c r="M61" s="67">
        <v>0.3</v>
      </c>
    </row>
    <row r="62" spans="1:13" x14ac:dyDescent="0.25">
      <c r="A62" s="71" t="s">
        <v>849</v>
      </c>
      <c r="B62" s="145" t="s">
        <v>545</v>
      </c>
      <c r="C62" s="71" t="s">
        <v>10</v>
      </c>
      <c r="D62" s="71" t="s">
        <v>35</v>
      </c>
      <c r="E62" s="71" t="s">
        <v>43</v>
      </c>
      <c r="F62" s="71" t="s">
        <v>549</v>
      </c>
      <c r="G62" s="71" t="s">
        <v>838</v>
      </c>
      <c r="H62" s="69">
        <v>0.3</v>
      </c>
      <c r="I62" s="239">
        <v>0.3</v>
      </c>
      <c r="J62" s="239">
        <v>0.3</v>
      </c>
      <c r="K62" s="148"/>
      <c r="M62" s="238">
        <v>0.3</v>
      </c>
    </row>
    <row r="63" spans="1:13" ht="78" customHeight="1" x14ac:dyDescent="0.25">
      <c r="A63" s="139" t="s">
        <v>6</v>
      </c>
      <c r="B63" s="219" t="s">
        <v>51</v>
      </c>
      <c r="C63" s="139" t="s">
        <v>10</v>
      </c>
      <c r="D63" s="139" t="s">
        <v>35</v>
      </c>
      <c r="E63" s="139" t="s">
        <v>52</v>
      </c>
      <c r="F63" s="139"/>
      <c r="G63" s="139"/>
      <c r="H63" s="68">
        <f>H64</f>
        <v>6.9</v>
      </c>
      <c r="I63" s="68">
        <f t="shared" ref="I63:J67" si="25">I64</f>
        <v>7.3</v>
      </c>
      <c r="J63" s="68">
        <f t="shared" si="25"/>
        <v>7.7</v>
      </c>
      <c r="K63" s="148"/>
      <c r="M63" s="67">
        <v>6.9</v>
      </c>
    </row>
    <row r="64" spans="1:13" ht="37.5" x14ac:dyDescent="0.25">
      <c r="A64" s="139" t="s">
        <v>7</v>
      </c>
      <c r="B64" s="357" t="s">
        <v>46</v>
      </c>
      <c r="C64" s="139" t="s">
        <v>10</v>
      </c>
      <c r="D64" s="139" t="s">
        <v>35</v>
      </c>
      <c r="E64" s="139" t="s">
        <v>52</v>
      </c>
      <c r="F64" s="139" t="s">
        <v>47</v>
      </c>
      <c r="G64" s="139"/>
      <c r="H64" s="68">
        <f>H65</f>
        <v>6.9</v>
      </c>
      <c r="I64" s="68">
        <f t="shared" si="25"/>
        <v>7.3</v>
      </c>
      <c r="J64" s="68">
        <f t="shared" si="25"/>
        <v>7.7</v>
      </c>
      <c r="K64" s="148"/>
      <c r="M64" s="67">
        <v>6.9</v>
      </c>
    </row>
    <row r="65" spans="1:13" ht="56.25" x14ac:dyDescent="0.25">
      <c r="A65" s="139" t="s">
        <v>550</v>
      </c>
      <c r="B65" s="358" t="s">
        <v>507</v>
      </c>
      <c r="C65" s="139" t="s">
        <v>10</v>
      </c>
      <c r="D65" s="139" t="s">
        <v>35</v>
      </c>
      <c r="E65" s="139" t="s">
        <v>52</v>
      </c>
      <c r="F65" s="139" t="s">
        <v>508</v>
      </c>
      <c r="G65" s="139"/>
      <c r="H65" s="68">
        <f>H66</f>
        <v>6.9</v>
      </c>
      <c r="I65" s="68">
        <f t="shared" si="25"/>
        <v>7.3</v>
      </c>
      <c r="J65" s="68">
        <f t="shared" si="25"/>
        <v>7.7</v>
      </c>
      <c r="K65" s="148"/>
      <c r="M65" s="67">
        <v>6.9</v>
      </c>
    </row>
    <row r="66" spans="1:13" ht="56.25" x14ac:dyDescent="0.25">
      <c r="A66" s="139" t="s">
        <v>551</v>
      </c>
      <c r="B66" s="219" t="s">
        <v>527</v>
      </c>
      <c r="C66" s="139" t="s">
        <v>10</v>
      </c>
      <c r="D66" s="139" t="s">
        <v>35</v>
      </c>
      <c r="E66" s="139" t="s">
        <v>52</v>
      </c>
      <c r="F66" s="139" t="s">
        <v>528</v>
      </c>
      <c r="G66" s="139"/>
      <c r="H66" s="68">
        <f>H67</f>
        <v>6.9</v>
      </c>
      <c r="I66" s="68">
        <f t="shared" si="25"/>
        <v>7.3</v>
      </c>
      <c r="J66" s="68">
        <f t="shared" si="25"/>
        <v>7.7</v>
      </c>
      <c r="K66" s="148"/>
      <c r="M66" s="67">
        <v>6.9</v>
      </c>
    </row>
    <row r="67" spans="1:13" ht="37.5" x14ac:dyDescent="0.25">
      <c r="A67" s="139" t="s">
        <v>552</v>
      </c>
      <c r="B67" s="219" t="s">
        <v>520</v>
      </c>
      <c r="C67" s="139" t="s">
        <v>10</v>
      </c>
      <c r="D67" s="139" t="s">
        <v>35</v>
      </c>
      <c r="E67" s="139" t="s">
        <v>52</v>
      </c>
      <c r="F67" s="139" t="s">
        <v>528</v>
      </c>
      <c r="G67" s="139" t="s">
        <v>142</v>
      </c>
      <c r="H67" s="68">
        <f>H68</f>
        <v>6.9</v>
      </c>
      <c r="I67" s="68">
        <f t="shared" si="25"/>
        <v>7.3</v>
      </c>
      <c r="J67" s="68">
        <f t="shared" si="25"/>
        <v>7.7</v>
      </c>
      <c r="K67" s="148"/>
      <c r="M67" s="67">
        <v>6.9</v>
      </c>
    </row>
    <row r="68" spans="1:13" x14ac:dyDescent="0.25">
      <c r="A68" s="71" t="s">
        <v>553</v>
      </c>
      <c r="B68" s="145" t="s">
        <v>525</v>
      </c>
      <c r="C68" s="71" t="s">
        <v>10</v>
      </c>
      <c r="D68" s="71" t="s">
        <v>35</v>
      </c>
      <c r="E68" s="71" t="s">
        <v>52</v>
      </c>
      <c r="F68" s="71" t="s">
        <v>528</v>
      </c>
      <c r="G68" s="71" t="s">
        <v>526</v>
      </c>
      <c r="H68" s="69">
        <v>6.9</v>
      </c>
      <c r="I68" s="249">
        <v>7.3</v>
      </c>
      <c r="J68" s="249">
        <v>7.7</v>
      </c>
      <c r="K68" s="148"/>
      <c r="M68" s="238">
        <v>6.9</v>
      </c>
    </row>
    <row r="69" spans="1:13" ht="93.75" x14ac:dyDescent="0.25">
      <c r="A69" s="139" t="s">
        <v>53</v>
      </c>
      <c r="B69" s="219" t="s">
        <v>54</v>
      </c>
      <c r="C69" s="139" t="s">
        <v>10</v>
      </c>
      <c r="D69" s="139" t="s">
        <v>35</v>
      </c>
      <c r="E69" s="139" t="s">
        <v>55</v>
      </c>
      <c r="F69" s="139"/>
      <c r="G69" s="139"/>
      <c r="H69" s="68">
        <f>H70+H77</f>
        <v>2398.1000000000004</v>
      </c>
      <c r="I69" s="68">
        <f t="shared" ref="I69:J69" si="26">I70+I77</f>
        <v>2408.3000000000002</v>
      </c>
      <c r="J69" s="68">
        <f t="shared" si="26"/>
        <v>2486.6999999999998</v>
      </c>
      <c r="K69" s="148"/>
      <c r="M69" s="67">
        <v>2398.1000000000004</v>
      </c>
    </row>
    <row r="70" spans="1:13" ht="93.75" x14ac:dyDescent="0.25">
      <c r="A70" s="139" t="s">
        <v>56</v>
      </c>
      <c r="B70" s="219" t="s">
        <v>39</v>
      </c>
      <c r="C70" s="139" t="s">
        <v>10</v>
      </c>
      <c r="D70" s="139" t="s">
        <v>35</v>
      </c>
      <c r="E70" s="139" t="s">
        <v>55</v>
      </c>
      <c r="F70" s="139" t="s">
        <v>40</v>
      </c>
      <c r="G70" s="139"/>
      <c r="H70" s="68">
        <f>H71</f>
        <v>2208.8000000000002</v>
      </c>
      <c r="I70" s="68">
        <f t="shared" ref="I70:J70" si="27">I71</f>
        <v>2208.8000000000002</v>
      </c>
      <c r="J70" s="68">
        <f t="shared" si="27"/>
        <v>2276.6999999999998</v>
      </c>
      <c r="K70" s="148"/>
      <c r="M70" s="67">
        <v>2208.8000000000002</v>
      </c>
    </row>
    <row r="71" spans="1:13" ht="37.5" x14ac:dyDescent="0.25">
      <c r="A71" s="139" t="s">
        <v>554</v>
      </c>
      <c r="B71" s="219" t="s">
        <v>480</v>
      </c>
      <c r="C71" s="139" t="s">
        <v>10</v>
      </c>
      <c r="D71" s="139" t="s">
        <v>35</v>
      </c>
      <c r="E71" s="139" t="s">
        <v>55</v>
      </c>
      <c r="F71" s="139" t="s">
        <v>481</v>
      </c>
      <c r="G71" s="139"/>
      <c r="H71" s="68">
        <f>H72+H74</f>
        <v>2208.8000000000002</v>
      </c>
      <c r="I71" s="68">
        <f t="shared" ref="I71:J71" si="28">I72+I74</f>
        <v>2208.8000000000002</v>
      </c>
      <c r="J71" s="68">
        <f t="shared" si="28"/>
        <v>2276.6999999999998</v>
      </c>
      <c r="K71" s="148"/>
      <c r="M71" s="67">
        <v>2208.8000000000002</v>
      </c>
    </row>
    <row r="72" spans="1:13" ht="37.5" x14ac:dyDescent="0.25">
      <c r="A72" s="139" t="s">
        <v>555</v>
      </c>
      <c r="B72" s="219" t="s">
        <v>486</v>
      </c>
      <c r="C72" s="139" t="s">
        <v>10</v>
      </c>
      <c r="D72" s="139" t="s">
        <v>35</v>
      </c>
      <c r="E72" s="139" t="s">
        <v>55</v>
      </c>
      <c r="F72" s="139" t="s">
        <v>484</v>
      </c>
      <c r="G72" s="139" t="s">
        <v>487</v>
      </c>
      <c r="H72" s="68">
        <f>SUM(H73:H73)</f>
        <v>1696.5</v>
      </c>
      <c r="I72" s="68">
        <f t="shared" ref="I72:J72" si="29">SUM(I73:I73)</f>
        <v>1696.5</v>
      </c>
      <c r="J72" s="68">
        <f t="shared" si="29"/>
        <v>1696.5</v>
      </c>
      <c r="K72" s="148"/>
      <c r="M72" s="68">
        <v>1696.5</v>
      </c>
    </row>
    <row r="73" spans="1:13" x14ac:dyDescent="0.25">
      <c r="A73" s="71" t="s">
        <v>556</v>
      </c>
      <c r="B73" s="145" t="s">
        <v>489</v>
      </c>
      <c r="C73" s="71" t="s">
        <v>10</v>
      </c>
      <c r="D73" s="71" t="s">
        <v>35</v>
      </c>
      <c r="E73" s="71" t="s">
        <v>55</v>
      </c>
      <c r="F73" s="71" t="s">
        <v>484</v>
      </c>
      <c r="G73" s="71" t="s">
        <v>490</v>
      </c>
      <c r="H73" s="69">
        <v>1696.5</v>
      </c>
      <c r="I73" s="69">
        <v>1696.5</v>
      </c>
      <c r="J73" s="69">
        <v>1696.5</v>
      </c>
      <c r="K73" s="148"/>
      <c r="M73" s="69">
        <v>1696.5</v>
      </c>
    </row>
    <row r="74" spans="1:13" ht="75" x14ac:dyDescent="0.25">
      <c r="A74" s="139" t="s">
        <v>557</v>
      </c>
      <c r="B74" s="219" t="s">
        <v>492</v>
      </c>
      <c r="C74" s="139" t="s">
        <v>10</v>
      </c>
      <c r="D74" s="139" t="s">
        <v>35</v>
      </c>
      <c r="E74" s="139" t="s">
        <v>55</v>
      </c>
      <c r="F74" s="139" t="s">
        <v>493</v>
      </c>
      <c r="G74" s="139"/>
      <c r="H74" s="68">
        <f>H75</f>
        <v>512.29999999999995</v>
      </c>
      <c r="I74" s="68">
        <f t="shared" ref="I74:J75" si="30">I75</f>
        <v>512.29999999999995</v>
      </c>
      <c r="J74" s="68">
        <f t="shared" si="30"/>
        <v>580.20000000000005</v>
      </c>
      <c r="K74" s="148"/>
      <c r="M74" s="68">
        <v>512.29999999999995</v>
      </c>
    </row>
    <row r="75" spans="1:13" ht="37.5" x14ac:dyDescent="0.25">
      <c r="A75" s="139" t="s">
        <v>557</v>
      </c>
      <c r="B75" s="219" t="s">
        <v>486</v>
      </c>
      <c r="C75" s="139" t="s">
        <v>10</v>
      </c>
      <c r="D75" s="139" t="s">
        <v>35</v>
      </c>
      <c r="E75" s="139" t="s">
        <v>55</v>
      </c>
      <c r="F75" s="139" t="s">
        <v>493</v>
      </c>
      <c r="G75" s="139" t="s">
        <v>487</v>
      </c>
      <c r="H75" s="68">
        <f>H76</f>
        <v>512.29999999999995</v>
      </c>
      <c r="I75" s="68">
        <f t="shared" si="30"/>
        <v>512.29999999999995</v>
      </c>
      <c r="J75" s="68">
        <f t="shared" si="30"/>
        <v>580.20000000000005</v>
      </c>
      <c r="K75" s="148"/>
      <c r="M75" s="68">
        <v>512.29999999999995</v>
      </c>
    </row>
    <row r="76" spans="1:13" x14ac:dyDescent="0.25">
      <c r="A76" s="71" t="s">
        <v>557</v>
      </c>
      <c r="B76" s="145" t="s">
        <v>495</v>
      </c>
      <c r="C76" s="71" t="s">
        <v>10</v>
      </c>
      <c r="D76" s="71" t="s">
        <v>35</v>
      </c>
      <c r="E76" s="71" t="s">
        <v>55</v>
      </c>
      <c r="F76" s="71" t="s">
        <v>493</v>
      </c>
      <c r="G76" s="71" t="s">
        <v>496</v>
      </c>
      <c r="H76" s="69">
        <v>512.29999999999995</v>
      </c>
      <c r="I76" s="69">
        <v>512.29999999999995</v>
      </c>
      <c r="J76" s="249">
        <v>580.20000000000005</v>
      </c>
      <c r="K76" s="148"/>
      <c r="M76" s="69">
        <v>512.29999999999995</v>
      </c>
    </row>
    <row r="77" spans="1:13" ht="37.5" x14ac:dyDescent="0.25">
      <c r="A77" s="139" t="s">
        <v>57</v>
      </c>
      <c r="B77" s="219" t="s">
        <v>46</v>
      </c>
      <c r="C77" s="139" t="s">
        <v>10</v>
      </c>
      <c r="D77" s="139" t="s">
        <v>35</v>
      </c>
      <c r="E77" s="139" t="s">
        <v>55</v>
      </c>
      <c r="F77" s="139" t="s">
        <v>47</v>
      </c>
      <c r="G77" s="139"/>
      <c r="H77" s="68">
        <f>H78</f>
        <v>189.3</v>
      </c>
      <c r="I77" s="68">
        <f t="shared" ref="I77:J78" si="31">I78</f>
        <v>199.5</v>
      </c>
      <c r="J77" s="68">
        <f t="shared" si="31"/>
        <v>210</v>
      </c>
      <c r="K77" s="148"/>
      <c r="M77" s="68">
        <v>189.3</v>
      </c>
    </row>
    <row r="78" spans="1:13" ht="56.25" x14ac:dyDescent="0.25">
      <c r="A78" s="139" t="s">
        <v>558</v>
      </c>
      <c r="B78" s="360" t="s">
        <v>507</v>
      </c>
      <c r="C78" s="139" t="s">
        <v>10</v>
      </c>
      <c r="D78" s="139" t="s">
        <v>35</v>
      </c>
      <c r="E78" s="139" t="s">
        <v>55</v>
      </c>
      <c r="F78" s="139" t="s">
        <v>508</v>
      </c>
      <c r="G78" s="139"/>
      <c r="H78" s="68">
        <f>H79</f>
        <v>189.3</v>
      </c>
      <c r="I78" s="68">
        <f t="shared" si="31"/>
        <v>199.5</v>
      </c>
      <c r="J78" s="68">
        <f t="shared" si="31"/>
        <v>210</v>
      </c>
      <c r="K78" s="148"/>
      <c r="M78" s="67">
        <v>189.3</v>
      </c>
    </row>
    <row r="79" spans="1:13" ht="56.25" x14ac:dyDescent="0.25">
      <c r="A79" s="139" t="s">
        <v>559</v>
      </c>
      <c r="B79" s="360" t="s">
        <v>507</v>
      </c>
      <c r="C79" s="139" t="s">
        <v>10</v>
      </c>
      <c r="D79" s="139" t="s">
        <v>35</v>
      </c>
      <c r="E79" s="139" t="s">
        <v>55</v>
      </c>
      <c r="F79" s="139" t="s">
        <v>528</v>
      </c>
      <c r="G79" s="139"/>
      <c r="H79" s="68">
        <f>H80+H83</f>
        <v>189.3</v>
      </c>
      <c r="I79" s="68">
        <f t="shared" ref="I79:J79" si="32">I80+I83</f>
        <v>199.5</v>
      </c>
      <c r="J79" s="68">
        <f t="shared" si="32"/>
        <v>210</v>
      </c>
      <c r="K79" s="148"/>
      <c r="M79" s="67">
        <v>189.3</v>
      </c>
    </row>
    <row r="80" spans="1:13" ht="37.5" x14ac:dyDescent="0.25">
      <c r="A80" s="139" t="s">
        <v>560</v>
      </c>
      <c r="B80" s="219" t="s">
        <v>511</v>
      </c>
      <c r="C80" s="139" t="s">
        <v>10</v>
      </c>
      <c r="D80" s="139" t="s">
        <v>35</v>
      </c>
      <c r="E80" s="139" t="s">
        <v>55</v>
      </c>
      <c r="F80" s="139" t="s">
        <v>528</v>
      </c>
      <c r="G80" s="139" t="s">
        <v>512</v>
      </c>
      <c r="H80" s="68">
        <f>SUM(H81:H82)</f>
        <v>55</v>
      </c>
      <c r="I80" s="68">
        <f t="shared" ref="I80:J80" si="33">SUM(I81:I82)</f>
        <v>127.5</v>
      </c>
      <c r="J80" s="68">
        <f t="shared" si="33"/>
        <v>138</v>
      </c>
      <c r="K80" s="148"/>
      <c r="M80" s="67">
        <v>55</v>
      </c>
    </row>
    <row r="81" spans="1:13" x14ac:dyDescent="0.25">
      <c r="A81" s="71" t="s">
        <v>561</v>
      </c>
      <c r="B81" s="145" t="s">
        <v>514</v>
      </c>
      <c r="C81" s="71" t="s">
        <v>10</v>
      </c>
      <c r="D81" s="71" t="s">
        <v>35</v>
      </c>
      <c r="E81" s="71" t="s">
        <v>55</v>
      </c>
      <c r="F81" s="71" t="s">
        <v>528</v>
      </c>
      <c r="G81" s="71" t="s">
        <v>515</v>
      </c>
      <c r="H81" s="69">
        <v>35</v>
      </c>
      <c r="I81" s="249">
        <v>37</v>
      </c>
      <c r="J81" s="251">
        <v>39</v>
      </c>
      <c r="K81" s="148"/>
      <c r="M81" s="238">
        <v>35</v>
      </c>
    </row>
    <row r="82" spans="1:13" x14ac:dyDescent="0.25">
      <c r="A82" s="71" t="s">
        <v>562</v>
      </c>
      <c r="B82" s="145" t="s">
        <v>517</v>
      </c>
      <c r="C82" s="71" t="s">
        <v>10</v>
      </c>
      <c r="D82" s="71" t="s">
        <v>35</v>
      </c>
      <c r="E82" s="71" t="s">
        <v>55</v>
      </c>
      <c r="F82" s="71" t="s">
        <v>528</v>
      </c>
      <c r="G82" s="71" t="s">
        <v>518</v>
      </c>
      <c r="H82" s="69">
        <v>20</v>
      </c>
      <c r="I82" s="249">
        <v>90.5</v>
      </c>
      <c r="J82" s="251">
        <v>99</v>
      </c>
      <c r="K82" s="148"/>
      <c r="M82" s="238">
        <v>20</v>
      </c>
    </row>
    <row r="83" spans="1:13" ht="37.5" x14ac:dyDescent="0.25">
      <c r="A83" s="139" t="s">
        <v>563</v>
      </c>
      <c r="B83" s="219" t="s">
        <v>520</v>
      </c>
      <c r="C83" s="139" t="s">
        <v>10</v>
      </c>
      <c r="D83" s="139" t="s">
        <v>35</v>
      </c>
      <c r="E83" s="139" t="s">
        <v>55</v>
      </c>
      <c r="F83" s="139" t="s">
        <v>528</v>
      </c>
      <c r="G83" s="139" t="s">
        <v>142</v>
      </c>
      <c r="H83" s="68">
        <f>H85+H84</f>
        <v>134.30000000000001</v>
      </c>
      <c r="I83" s="68">
        <f t="shared" ref="I83:J83" si="34">I85</f>
        <v>72</v>
      </c>
      <c r="J83" s="68">
        <f t="shared" si="34"/>
        <v>72</v>
      </c>
      <c r="K83" s="148"/>
      <c r="M83" s="67">
        <v>134.30000000000001</v>
      </c>
    </row>
    <row r="84" spans="1:13" x14ac:dyDescent="0.25">
      <c r="A84" s="71" t="s">
        <v>564</v>
      </c>
      <c r="B84" s="145" t="s">
        <v>522</v>
      </c>
      <c r="C84" s="71" t="s">
        <v>10</v>
      </c>
      <c r="D84" s="71" t="s">
        <v>35</v>
      </c>
      <c r="E84" s="71" t="s">
        <v>55</v>
      </c>
      <c r="F84" s="71" t="s">
        <v>528</v>
      </c>
      <c r="G84" s="71" t="s">
        <v>523</v>
      </c>
      <c r="H84" s="69">
        <v>62.3</v>
      </c>
      <c r="I84" s="69">
        <v>0</v>
      </c>
      <c r="J84" s="69">
        <v>0</v>
      </c>
      <c r="K84" s="148"/>
      <c r="M84" s="238">
        <v>62.3</v>
      </c>
    </row>
    <row r="85" spans="1:13" x14ac:dyDescent="0.25">
      <c r="A85" s="71" t="s">
        <v>565</v>
      </c>
      <c r="B85" s="145" t="s">
        <v>525</v>
      </c>
      <c r="C85" s="71" t="s">
        <v>10</v>
      </c>
      <c r="D85" s="71" t="s">
        <v>35</v>
      </c>
      <c r="E85" s="71" t="s">
        <v>55</v>
      </c>
      <c r="F85" s="71" t="s">
        <v>528</v>
      </c>
      <c r="G85" s="71" t="s">
        <v>526</v>
      </c>
      <c r="H85" s="69">
        <v>72</v>
      </c>
      <c r="I85" s="251">
        <v>72</v>
      </c>
      <c r="J85" s="251">
        <v>72</v>
      </c>
      <c r="K85" s="148"/>
      <c r="M85" s="238">
        <v>72</v>
      </c>
    </row>
    <row r="86" spans="1:13" x14ac:dyDescent="0.25">
      <c r="A86" s="247" t="s">
        <v>41</v>
      </c>
      <c r="B86" s="222" t="s">
        <v>58</v>
      </c>
      <c r="C86" s="247" t="s">
        <v>10</v>
      </c>
      <c r="D86" s="247" t="s">
        <v>59</v>
      </c>
      <c r="E86" s="247"/>
      <c r="F86" s="247"/>
      <c r="G86" s="247"/>
      <c r="H86" s="248">
        <f>H87</f>
        <v>65</v>
      </c>
      <c r="I86" s="248">
        <f t="shared" ref="I86:J89" si="35">I87</f>
        <v>65</v>
      </c>
      <c r="J86" s="248">
        <f t="shared" si="35"/>
        <v>65</v>
      </c>
      <c r="K86" s="148"/>
      <c r="M86" s="271">
        <v>65</v>
      </c>
    </row>
    <row r="87" spans="1:13" x14ac:dyDescent="0.25">
      <c r="A87" s="139" t="s">
        <v>44</v>
      </c>
      <c r="B87" s="219" t="s">
        <v>60</v>
      </c>
      <c r="C87" s="139" t="s">
        <v>10</v>
      </c>
      <c r="D87" s="139" t="s">
        <v>59</v>
      </c>
      <c r="E87" s="139" t="s">
        <v>61</v>
      </c>
      <c r="F87" s="139"/>
      <c r="G87" s="139"/>
      <c r="H87" s="68">
        <f>H88</f>
        <v>65</v>
      </c>
      <c r="I87" s="68">
        <f t="shared" si="35"/>
        <v>65</v>
      </c>
      <c r="J87" s="68">
        <f t="shared" si="35"/>
        <v>65</v>
      </c>
      <c r="K87" s="148"/>
      <c r="M87" s="67">
        <v>65</v>
      </c>
    </row>
    <row r="88" spans="1:13" x14ac:dyDescent="0.25">
      <c r="A88" s="139" t="s">
        <v>62</v>
      </c>
      <c r="B88" s="219" t="s">
        <v>49</v>
      </c>
      <c r="C88" s="139" t="s">
        <v>10</v>
      </c>
      <c r="D88" s="139" t="s">
        <v>59</v>
      </c>
      <c r="E88" s="139" t="s">
        <v>61</v>
      </c>
      <c r="F88" s="139" t="s">
        <v>50</v>
      </c>
      <c r="G88" s="139"/>
      <c r="H88" s="68">
        <f>H89</f>
        <v>65</v>
      </c>
      <c r="I88" s="68">
        <f t="shared" si="35"/>
        <v>65</v>
      </c>
      <c r="J88" s="68">
        <f t="shared" si="35"/>
        <v>65</v>
      </c>
      <c r="K88" s="148"/>
      <c r="M88" s="67">
        <v>65</v>
      </c>
    </row>
    <row r="89" spans="1:13" x14ac:dyDescent="0.25">
      <c r="A89" s="139" t="s">
        <v>342</v>
      </c>
      <c r="B89" s="219" t="s">
        <v>566</v>
      </c>
      <c r="C89" s="139" t="s">
        <v>10</v>
      </c>
      <c r="D89" s="139" t="s">
        <v>59</v>
      </c>
      <c r="E89" s="139" t="s">
        <v>61</v>
      </c>
      <c r="F89" s="139" t="s">
        <v>567</v>
      </c>
      <c r="G89" s="139" t="s">
        <v>568</v>
      </c>
      <c r="H89" s="68">
        <f>H90</f>
        <v>65</v>
      </c>
      <c r="I89" s="68">
        <f t="shared" si="35"/>
        <v>65</v>
      </c>
      <c r="J89" s="68">
        <f t="shared" si="35"/>
        <v>65</v>
      </c>
      <c r="K89" s="148"/>
      <c r="M89" s="67">
        <v>65</v>
      </c>
    </row>
    <row r="90" spans="1:13" x14ac:dyDescent="0.25">
      <c r="A90" s="71" t="s">
        <v>497</v>
      </c>
      <c r="B90" s="145" t="s">
        <v>545</v>
      </c>
      <c r="C90" s="71" t="s">
        <v>10</v>
      </c>
      <c r="D90" s="71" t="s">
        <v>59</v>
      </c>
      <c r="E90" s="71" t="s">
        <v>61</v>
      </c>
      <c r="F90" s="71" t="s">
        <v>567</v>
      </c>
      <c r="G90" s="71" t="s">
        <v>839</v>
      </c>
      <c r="H90" s="69">
        <v>65</v>
      </c>
      <c r="I90" s="251">
        <v>65</v>
      </c>
      <c r="J90" s="251">
        <v>65</v>
      </c>
      <c r="K90" s="148"/>
      <c r="M90" s="238">
        <v>65</v>
      </c>
    </row>
    <row r="91" spans="1:13" ht="30" customHeight="1" x14ac:dyDescent="0.25">
      <c r="A91" s="235" t="s">
        <v>8</v>
      </c>
      <c r="B91" s="222" t="s">
        <v>63</v>
      </c>
      <c r="C91" s="235" t="s">
        <v>10</v>
      </c>
      <c r="D91" s="235" t="s">
        <v>64</v>
      </c>
      <c r="E91" s="235"/>
      <c r="F91" s="235"/>
      <c r="G91" s="235"/>
      <c r="H91" s="236">
        <f>H92+H104+H98</f>
        <v>483.6</v>
      </c>
      <c r="I91" s="236">
        <f t="shared" ref="I91:J91" si="36">I92+I104+I98</f>
        <v>509.7</v>
      </c>
      <c r="J91" s="236">
        <f t="shared" si="36"/>
        <v>537.20000000000005</v>
      </c>
      <c r="K91" s="148"/>
      <c r="M91" s="236">
        <v>483.6</v>
      </c>
    </row>
    <row r="92" spans="1:13" ht="37.5" x14ac:dyDescent="0.25">
      <c r="A92" s="139" t="s">
        <v>65</v>
      </c>
      <c r="B92" s="219" t="s">
        <v>66</v>
      </c>
      <c r="C92" s="139" t="s">
        <v>10</v>
      </c>
      <c r="D92" s="139" t="s">
        <v>64</v>
      </c>
      <c r="E92" s="139" t="s">
        <v>67</v>
      </c>
      <c r="F92" s="139"/>
      <c r="G92" s="139"/>
      <c r="H92" s="252">
        <f>H93</f>
        <v>396</v>
      </c>
      <c r="I92" s="252">
        <f t="shared" ref="I92:J96" si="37">I93</f>
        <v>417.4</v>
      </c>
      <c r="J92" s="252">
        <f t="shared" si="37"/>
        <v>440</v>
      </c>
      <c r="K92" s="148"/>
      <c r="M92" s="252">
        <v>396</v>
      </c>
    </row>
    <row r="93" spans="1:13" ht="37.5" x14ac:dyDescent="0.25">
      <c r="A93" s="139" t="s">
        <v>68</v>
      </c>
      <c r="B93" s="219" t="s">
        <v>46</v>
      </c>
      <c r="C93" s="139" t="s">
        <v>10</v>
      </c>
      <c r="D93" s="139" t="s">
        <v>64</v>
      </c>
      <c r="E93" s="139" t="s">
        <v>67</v>
      </c>
      <c r="F93" s="139" t="s">
        <v>47</v>
      </c>
      <c r="G93" s="139"/>
      <c r="H93" s="68">
        <f>H94</f>
        <v>396</v>
      </c>
      <c r="I93" s="68">
        <f t="shared" si="37"/>
        <v>417.4</v>
      </c>
      <c r="J93" s="68">
        <f t="shared" si="37"/>
        <v>440</v>
      </c>
      <c r="K93" s="148"/>
      <c r="M93" s="67">
        <v>396</v>
      </c>
    </row>
    <row r="94" spans="1:13" ht="56.25" x14ac:dyDescent="0.25">
      <c r="A94" s="139" t="s">
        <v>569</v>
      </c>
      <c r="B94" s="360" t="s">
        <v>507</v>
      </c>
      <c r="C94" s="139" t="s">
        <v>10</v>
      </c>
      <c r="D94" s="139" t="s">
        <v>64</v>
      </c>
      <c r="E94" s="139" t="s">
        <v>67</v>
      </c>
      <c r="F94" s="139" t="s">
        <v>508</v>
      </c>
      <c r="G94" s="139"/>
      <c r="H94" s="68">
        <f>H95</f>
        <v>396</v>
      </c>
      <c r="I94" s="68">
        <f t="shared" si="37"/>
        <v>417.4</v>
      </c>
      <c r="J94" s="68">
        <f t="shared" si="37"/>
        <v>440</v>
      </c>
      <c r="K94" s="148"/>
      <c r="M94" s="67">
        <v>396</v>
      </c>
    </row>
    <row r="95" spans="1:13" ht="56.25" x14ac:dyDescent="0.25">
      <c r="A95" s="139" t="s">
        <v>570</v>
      </c>
      <c r="B95" s="219" t="s">
        <v>527</v>
      </c>
      <c r="C95" s="139" t="s">
        <v>10</v>
      </c>
      <c r="D95" s="139" t="s">
        <v>64</v>
      </c>
      <c r="E95" s="139" t="s">
        <v>67</v>
      </c>
      <c r="F95" s="139" t="s">
        <v>528</v>
      </c>
      <c r="G95" s="139"/>
      <c r="H95" s="68">
        <f>H96</f>
        <v>396</v>
      </c>
      <c r="I95" s="68">
        <f t="shared" si="37"/>
        <v>417.4</v>
      </c>
      <c r="J95" s="68">
        <f t="shared" si="37"/>
        <v>440</v>
      </c>
      <c r="K95" s="148"/>
      <c r="M95" s="67">
        <v>396</v>
      </c>
    </row>
    <row r="96" spans="1:13" x14ac:dyDescent="0.25">
      <c r="A96" s="139" t="s">
        <v>571</v>
      </c>
      <c r="B96" s="219" t="s">
        <v>511</v>
      </c>
      <c r="C96" s="139" t="s">
        <v>10</v>
      </c>
      <c r="D96" s="139" t="s">
        <v>64</v>
      </c>
      <c r="E96" s="139" t="s">
        <v>67</v>
      </c>
      <c r="F96" s="139" t="s">
        <v>528</v>
      </c>
      <c r="G96" s="139" t="s">
        <v>512</v>
      </c>
      <c r="H96" s="68">
        <f>H97</f>
        <v>396</v>
      </c>
      <c r="I96" s="68">
        <f t="shared" si="37"/>
        <v>417.4</v>
      </c>
      <c r="J96" s="68">
        <f t="shared" si="37"/>
        <v>440</v>
      </c>
      <c r="K96" s="148"/>
      <c r="M96" s="67">
        <v>396</v>
      </c>
    </row>
    <row r="97" spans="1:13" x14ac:dyDescent="0.25">
      <c r="A97" s="71" t="s">
        <v>572</v>
      </c>
      <c r="B97" s="145" t="s">
        <v>517</v>
      </c>
      <c r="C97" s="71" t="s">
        <v>10</v>
      </c>
      <c r="D97" s="71" t="s">
        <v>64</v>
      </c>
      <c r="E97" s="71" t="s">
        <v>67</v>
      </c>
      <c r="F97" s="71" t="s">
        <v>528</v>
      </c>
      <c r="G97" s="71" t="s">
        <v>518</v>
      </c>
      <c r="H97" s="69">
        <v>396</v>
      </c>
      <c r="I97" s="251">
        <v>417.4</v>
      </c>
      <c r="J97" s="251">
        <v>440</v>
      </c>
      <c r="K97" s="148"/>
      <c r="M97" s="238">
        <v>396</v>
      </c>
    </row>
    <row r="98" spans="1:13" x14ac:dyDescent="0.25">
      <c r="A98" s="139" t="s">
        <v>69</v>
      </c>
      <c r="B98" s="219" t="s">
        <v>275</v>
      </c>
      <c r="C98" s="139" t="s">
        <v>10</v>
      </c>
      <c r="D98" s="139" t="s">
        <v>64</v>
      </c>
      <c r="E98" s="139" t="s">
        <v>276</v>
      </c>
      <c r="F98" s="139"/>
      <c r="G98" s="71"/>
      <c r="H98" s="253">
        <f>H99</f>
        <v>67.599999999999994</v>
      </c>
      <c r="I98" s="253">
        <f t="shared" ref="I98:J102" si="38">I99</f>
        <v>71.3</v>
      </c>
      <c r="J98" s="253">
        <f t="shared" si="38"/>
        <v>75.099999999999994</v>
      </c>
      <c r="K98" s="148"/>
      <c r="M98" s="272">
        <v>67.599999999999994</v>
      </c>
    </row>
    <row r="99" spans="1:13" ht="37.5" x14ac:dyDescent="0.25">
      <c r="A99" s="139" t="s">
        <v>72</v>
      </c>
      <c r="B99" s="219" t="s">
        <v>46</v>
      </c>
      <c r="C99" s="139" t="s">
        <v>10</v>
      </c>
      <c r="D99" s="139" t="s">
        <v>64</v>
      </c>
      <c r="E99" s="139" t="s">
        <v>276</v>
      </c>
      <c r="F99" s="139" t="s">
        <v>47</v>
      </c>
      <c r="G99" s="71"/>
      <c r="H99" s="68">
        <f>H100</f>
        <v>67.599999999999994</v>
      </c>
      <c r="I99" s="68">
        <f t="shared" si="38"/>
        <v>71.3</v>
      </c>
      <c r="J99" s="68">
        <f t="shared" si="38"/>
        <v>75.099999999999994</v>
      </c>
      <c r="K99" s="148"/>
      <c r="M99" s="67">
        <v>67.599999999999994</v>
      </c>
    </row>
    <row r="100" spans="1:13" ht="56.25" x14ac:dyDescent="0.25">
      <c r="A100" s="139" t="s">
        <v>573</v>
      </c>
      <c r="B100" s="360" t="s">
        <v>507</v>
      </c>
      <c r="C100" s="139" t="s">
        <v>10</v>
      </c>
      <c r="D100" s="139" t="s">
        <v>64</v>
      </c>
      <c r="E100" s="139" t="s">
        <v>276</v>
      </c>
      <c r="F100" s="139" t="s">
        <v>508</v>
      </c>
      <c r="G100" s="71"/>
      <c r="H100" s="68">
        <f>H101</f>
        <v>67.599999999999994</v>
      </c>
      <c r="I100" s="68">
        <f t="shared" si="38"/>
        <v>71.3</v>
      </c>
      <c r="J100" s="68">
        <f t="shared" si="38"/>
        <v>75.099999999999994</v>
      </c>
      <c r="K100" s="148"/>
      <c r="M100" s="67">
        <v>67.599999999999994</v>
      </c>
    </row>
    <row r="101" spans="1:13" ht="56.25" x14ac:dyDescent="0.25">
      <c r="A101" s="139" t="s">
        <v>574</v>
      </c>
      <c r="B101" s="219" t="s">
        <v>527</v>
      </c>
      <c r="C101" s="139" t="s">
        <v>10</v>
      </c>
      <c r="D101" s="139" t="s">
        <v>64</v>
      </c>
      <c r="E101" s="139" t="s">
        <v>276</v>
      </c>
      <c r="F101" s="139" t="s">
        <v>528</v>
      </c>
      <c r="G101" s="71"/>
      <c r="H101" s="68">
        <f>H102</f>
        <v>67.599999999999994</v>
      </c>
      <c r="I101" s="68">
        <f t="shared" si="38"/>
        <v>71.3</v>
      </c>
      <c r="J101" s="68">
        <f t="shared" si="38"/>
        <v>75.099999999999994</v>
      </c>
      <c r="K101" s="148"/>
      <c r="M101" s="67">
        <v>67.599999999999994</v>
      </c>
    </row>
    <row r="102" spans="1:13" x14ac:dyDescent="0.25">
      <c r="A102" s="139" t="s">
        <v>575</v>
      </c>
      <c r="B102" s="219" t="s">
        <v>511</v>
      </c>
      <c r="C102" s="139" t="s">
        <v>10</v>
      </c>
      <c r="D102" s="139" t="s">
        <v>64</v>
      </c>
      <c r="E102" s="139" t="s">
        <v>276</v>
      </c>
      <c r="F102" s="139" t="s">
        <v>528</v>
      </c>
      <c r="G102" s="139" t="s">
        <v>512</v>
      </c>
      <c r="H102" s="68">
        <f>H103</f>
        <v>67.599999999999994</v>
      </c>
      <c r="I102" s="68">
        <f t="shared" si="38"/>
        <v>71.3</v>
      </c>
      <c r="J102" s="68">
        <f t="shared" si="38"/>
        <v>75.099999999999994</v>
      </c>
      <c r="K102" s="148"/>
      <c r="M102" s="67">
        <v>67.599999999999994</v>
      </c>
    </row>
    <row r="103" spans="1:13" x14ac:dyDescent="0.25">
      <c r="A103" s="71" t="s">
        <v>576</v>
      </c>
      <c r="B103" s="145" t="s">
        <v>517</v>
      </c>
      <c r="C103" s="71" t="s">
        <v>10</v>
      </c>
      <c r="D103" s="71" t="s">
        <v>64</v>
      </c>
      <c r="E103" s="71" t="s">
        <v>276</v>
      </c>
      <c r="F103" s="71" t="s">
        <v>528</v>
      </c>
      <c r="G103" s="71" t="s">
        <v>518</v>
      </c>
      <c r="H103" s="69">
        <v>67.599999999999994</v>
      </c>
      <c r="I103" s="249">
        <v>71.3</v>
      </c>
      <c r="J103" s="249">
        <v>75.099999999999994</v>
      </c>
      <c r="K103" s="148"/>
      <c r="M103" s="238">
        <v>67.599999999999994</v>
      </c>
    </row>
    <row r="104" spans="1:13" ht="56.25" x14ac:dyDescent="0.25">
      <c r="A104" s="139" t="s">
        <v>73</v>
      </c>
      <c r="B104" s="219" t="s">
        <v>430</v>
      </c>
      <c r="C104" s="139" t="s">
        <v>10</v>
      </c>
      <c r="D104" s="139" t="s">
        <v>64</v>
      </c>
      <c r="E104" s="139" t="s">
        <v>431</v>
      </c>
      <c r="F104" s="139"/>
      <c r="G104" s="139"/>
      <c r="H104" s="68">
        <f>H105</f>
        <v>20</v>
      </c>
      <c r="I104" s="68">
        <f t="shared" ref="I104:J108" si="39">I105</f>
        <v>21</v>
      </c>
      <c r="J104" s="68">
        <f t="shared" si="39"/>
        <v>22.1</v>
      </c>
      <c r="K104" s="148"/>
      <c r="M104" s="67">
        <v>20</v>
      </c>
    </row>
    <row r="105" spans="1:13" ht="37.5" x14ac:dyDescent="0.25">
      <c r="A105" s="139" t="s">
        <v>74</v>
      </c>
      <c r="B105" s="219" t="s">
        <v>46</v>
      </c>
      <c r="C105" s="139" t="s">
        <v>10</v>
      </c>
      <c r="D105" s="139" t="s">
        <v>64</v>
      </c>
      <c r="E105" s="139" t="s">
        <v>431</v>
      </c>
      <c r="F105" s="139" t="s">
        <v>47</v>
      </c>
      <c r="G105" s="139"/>
      <c r="H105" s="68">
        <f>H106</f>
        <v>20</v>
      </c>
      <c r="I105" s="68">
        <f t="shared" si="39"/>
        <v>21</v>
      </c>
      <c r="J105" s="68">
        <f t="shared" si="39"/>
        <v>22.1</v>
      </c>
      <c r="K105" s="148"/>
      <c r="M105" s="67">
        <v>20</v>
      </c>
    </row>
    <row r="106" spans="1:13" ht="56.25" x14ac:dyDescent="0.25">
      <c r="A106" s="139" t="s">
        <v>355</v>
      </c>
      <c r="B106" s="360" t="s">
        <v>507</v>
      </c>
      <c r="C106" s="139" t="s">
        <v>10</v>
      </c>
      <c r="D106" s="139" t="s">
        <v>64</v>
      </c>
      <c r="E106" s="139" t="s">
        <v>431</v>
      </c>
      <c r="F106" s="139" t="s">
        <v>508</v>
      </c>
      <c r="G106" s="139"/>
      <c r="H106" s="68">
        <f>H107</f>
        <v>20</v>
      </c>
      <c r="I106" s="68">
        <f t="shared" si="39"/>
        <v>21</v>
      </c>
      <c r="J106" s="68">
        <f t="shared" si="39"/>
        <v>22.1</v>
      </c>
      <c r="K106" s="148"/>
      <c r="M106" s="67">
        <v>20</v>
      </c>
    </row>
    <row r="107" spans="1:13" ht="56.25" x14ac:dyDescent="0.25">
      <c r="A107" s="139" t="s">
        <v>577</v>
      </c>
      <c r="B107" s="219" t="s">
        <v>527</v>
      </c>
      <c r="C107" s="139" t="s">
        <v>10</v>
      </c>
      <c r="D107" s="139" t="s">
        <v>64</v>
      </c>
      <c r="E107" s="139" t="s">
        <v>431</v>
      </c>
      <c r="F107" s="139" t="s">
        <v>528</v>
      </c>
      <c r="G107" s="139"/>
      <c r="H107" s="68">
        <f>H108</f>
        <v>20</v>
      </c>
      <c r="I107" s="68">
        <f t="shared" si="39"/>
        <v>21</v>
      </c>
      <c r="J107" s="68">
        <f t="shared" si="39"/>
        <v>22.1</v>
      </c>
      <c r="K107" s="148"/>
      <c r="M107" s="67">
        <v>20</v>
      </c>
    </row>
    <row r="108" spans="1:13" x14ac:dyDescent="0.25">
      <c r="A108" s="139" t="s">
        <v>578</v>
      </c>
      <c r="B108" s="219" t="s">
        <v>511</v>
      </c>
      <c r="C108" s="139" t="s">
        <v>10</v>
      </c>
      <c r="D108" s="139" t="s">
        <v>64</v>
      </c>
      <c r="E108" s="139" t="s">
        <v>431</v>
      </c>
      <c r="F108" s="139" t="s">
        <v>528</v>
      </c>
      <c r="G108" s="139" t="s">
        <v>512</v>
      </c>
      <c r="H108" s="68">
        <f>H109</f>
        <v>20</v>
      </c>
      <c r="I108" s="68">
        <f t="shared" si="39"/>
        <v>21</v>
      </c>
      <c r="J108" s="68">
        <f t="shared" si="39"/>
        <v>22.1</v>
      </c>
      <c r="K108" s="148"/>
      <c r="M108" s="67">
        <v>20</v>
      </c>
    </row>
    <row r="109" spans="1:13" x14ac:dyDescent="0.25">
      <c r="A109" s="71" t="s">
        <v>579</v>
      </c>
      <c r="B109" s="145" t="s">
        <v>517</v>
      </c>
      <c r="C109" s="71" t="s">
        <v>10</v>
      </c>
      <c r="D109" s="71" t="s">
        <v>64</v>
      </c>
      <c r="E109" s="71" t="s">
        <v>431</v>
      </c>
      <c r="F109" s="71" t="s">
        <v>528</v>
      </c>
      <c r="G109" s="71" t="s">
        <v>518</v>
      </c>
      <c r="H109" s="69">
        <v>20</v>
      </c>
      <c r="I109" s="250">
        <v>21</v>
      </c>
      <c r="J109" s="250">
        <v>22.1</v>
      </c>
      <c r="K109" s="148"/>
      <c r="M109" s="238">
        <v>20</v>
      </c>
    </row>
    <row r="110" spans="1:13" ht="20.25" x14ac:dyDescent="0.25">
      <c r="A110" s="254" t="s">
        <v>14</v>
      </c>
      <c r="B110" s="373" t="s">
        <v>85</v>
      </c>
      <c r="C110" s="372" t="s">
        <v>10</v>
      </c>
      <c r="D110" s="372" t="s">
        <v>86</v>
      </c>
      <c r="E110" s="372"/>
      <c r="F110" s="372"/>
      <c r="G110" s="372"/>
      <c r="H110" s="246">
        <f>H111</f>
        <v>20</v>
      </c>
      <c r="I110" s="246">
        <f t="shared" ref="I110:J110" si="40">I111</f>
        <v>21.2</v>
      </c>
      <c r="J110" s="246">
        <f t="shared" si="40"/>
        <v>22.2</v>
      </c>
      <c r="K110" s="148"/>
      <c r="M110" s="269">
        <v>20</v>
      </c>
    </row>
    <row r="111" spans="1:13" ht="30" customHeight="1" x14ac:dyDescent="0.25">
      <c r="A111" s="247" t="s">
        <v>12</v>
      </c>
      <c r="B111" s="374" t="s">
        <v>87</v>
      </c>
      <c r="C111" s="247" t="s">
        <v>10</v>
      </c>
      <c r="D111" s="247" t="s">
        <v>88</v>
      </c>
      <c r="E111" s="247"/>
      <c r="F111" s="247"/>
      <c r="G111" s="247"/>
      <c r="H111" s="248">
        <f>H112+H117</f>
        <v>20</v>
      </c>
      <c r="I111" s="248">
        <f t="shared" ref="I111:J111" si="41">I112+I117</f>
        <v>21.2</v>
      </c>
      <c r="J111" s="248">
        <f t="shared" si="41"/>
        <v>22.2</v>
      </c>
      <c r="K111" s="148"/>
      <c r="M111" s="271">
        <v>20</v>
      </c>
    </row>
    <row r="112" spans="1:13" ht="75" x14ac:dyDescent="0.25">
      <c r="A112" s="139" t="s">
        <v>15</v>
      </c>
      <c r="B112" s="357" t="s">
        <v>285</v>
      </c>
      <c r="C112" s="139" t="s">
        <v>10</v>
      </c>
      <c r="D112" s="139" t="s">
        <v>88</v>
      </c>
      <c r="E112" s="139" t="s">
        <v>89</v>
      </c>
      <c r="F112" s="139"/>
      <c r="G112" s="139"/>
      <c r="H112" s="68">
        <f t="shared" ref="H112:J115" si="42">H113</f>
        <v>10</v>
      </c>
      <c r="I112" s="68">
        <f t="shared" si="42"/>
        <v>10.6</v>
      </c>
      <c r="J112" s="68">
        <f t="shared" si="42"/>
        <v>11.1</v>
      </c>
      <c r="K112" s="148"/>
      <c r="M112" s="67">
        <v>10</v>
      </c>
    </row>
    <row r="113" spans="1:13" ht="37.5" x14ac:dyDescent="0.25">
      <c r="A113" s="139" t="s">
        <v>13</v>
      </c>
      <c r="B113" s="219" t="s">
        <v>46</v>
      </c>
      <c r="C113" s="139" t="s">
        <v>10</v>
      </c>
      <c r="D113" s="139" t="s">
        <v>88</v>
      </c>
      <c r="E113" s="139" t="s">
        <v>89</v>
      </c>
      <c r="F113" s="139" t="s">
        <v>47</v>
      </c>
      <c r="G113" s="139"/>
      <c r="H113" s="68">
        <f t="shared" si="42"/>
        <v>10</v>
      </c>
      <c r="I113" s="68">
        <f t="shared" si="42"/>
        <v>10.6</v>
      </c>
      <c r="J113" s="68">
        <f t="shared" si="42"/>
        <v>11.1</v>
      </c>
      <c r="K113" s="148"/>
      <c r="M113" s="67">
        <v>10</v>
      </c>
    </row>
    <row r="114" spans="1:13" ht="56.25" x14ac:dyDescent="0.25">
      <c r="A114" s="139" t="s">
        <v>372</v>
      </c>
      <c r="B114" s="360" t="s">
        <v>507</v>
      </c>
      <c r="C114" s="139" t="s">
        <v>10</v>
      </c>
      <c r="D114" s="139" t="s">
        <v>88</v>
      </c>
      <c r="E114" s="139" t="s">
        <v>89</v>
      </c>
      <c r="F114" s="139" t="s">
        <v>508</v>
      </c>
      <c r="G114" s="139"/>
      <c r="H114" s="68">
        <f t="shared" si="42"/>
        <v>10</v>
      </c>
      <c r="I114" s="68">
        <f t="shared" si="42"/>
        <v>10.6</v>
      </c>
      <c r="J114" s="68">
        <f t="shared" si="42"/>
        <v>11.1</v>
      </c>
      <c r="K114" s="148"/>
      <c r="M114" s="67">
        <v>10</v>
      </c>
    </row>
    <row r="115" spans="1:13" ht="56.25" x14ac:dyDescent="0.25">
      <c r="A115" s="139" t="s">
        <v>400</v>
      </c>
      <c r="B115" s="219" t="s">
        <v>527</v>
      </c>
      <c r="C115" s="139" t="s">
        <v>10</v>
      </c>
      <c r="D115" s="139" t="s">
        <v>88</v>
      </c>
      <c r="E115" s="139" t="s">
        <v>89</v>
      </c>
      <c r="F115" s="139" t="s">
        <v>528</v>
      </c>
      <c r="G115" s="139"/>
      <c r="H115" s="68">
        <f>H116</f>
        <v>10</v>
      </c>
      <c r="I115" s="68">
        <f t="shared" si="42"/>
        <v>10.6</v>
      </c>
      <c r="J115" s="68">
        <f t="shared" si="42"/>
        <v>11.1</v>
      </c>
      <c r="K115" s="148"/>
      <c r="M115" s="68">
        <v>10</v>
      </c>
    </row>
    <row r="116" spans="1:13" x14ac:dyDescent="0.25">
      <c r="A116" s="71" t="s">
        <v>580</v>
      </c>
      <c r="B116" s="145" t="s">
        <v>545</v>
      </c>
      <c r="C116" s="71" t="s">
        <v>10</v>
      </c>
      <c r="D116" s="71" t="s">
        <v>88</v>
      </c>
      <c r="E116" s="71" t="s">
        <v>89</v>
      </c>
      <c r="F116" s="71" t="s">
        <v>528</v>
      </c>
      <c r="G116" s="71" t="s">
        <v>839</v>
      </c>
      <c r="H116" s="69">
        <v>10</v>
      </c>
      <c r="I116" s="239">
        <v>10.6</v>
      </c>
      <c r="J116" s="239">
        <v>11.1</v>
      </c>
      <c r="K116" s="148"/>
      <c r="M116" s="69">
        <v>10</v>
      </c>
    </row>
    <row r="117" spans="1:13" ht="75" x14ac:dyDescent="0.25">
      <c r="A117" s="139" t="s">
        <v>581</v>
      </c>
      <c r="B117" s="219" t="s">
        <v>427</v>
      </c>
      <c r="C117" s="139" t="s">
        <v>10</v>
      </c>
      <c r="D117" s="139" t="s">
        <v>88</v>
      </c>
      <c r="E117" s="139" t="s">
        <v>428</v>
      </c>
      <c r="F117" s="139"/>
      <c r="G117" s="71"/>
      <c r="H117" s="68">
        <f t="shared" ref="H117:J120" si="43">H118</f>
        <v>10</v>
      </c>
      <c r="I117" s="68">
        <f t="shared" si="43"/>
        <v>10.6</v>
      </c>
      <c r="J117" s="68">
        <f t="shared" si="43"/>
        <v>11.1</v>
      </c>
      <c r="K117" s="148"/>
      <c r="M117" s="68">
        <v>10</v>
      </c>
    </row>
    <row r="118" spans="1:13" ht="37.5" x14ac:dyDescent="0.25">
      <c r="A118" s="139" t="s">
        <v>582</v>
      </c>
      <c r="B118" s="219" t="s">
        <v>46</v>
      </c>
      <c r="C118" s="139" t="s">
        <v>10</v>
      </c>
      <c r="D118" s="139" t="s">
        <v>88</v>
      </c>
      <c r="E118" s="139" t="s">
        <v>428</v>
      </c>
      <c r="F118" s="139" t="s">
        <v>47</v>
      </c>
      <c r="G118" s="71"/>
      <c r="H118" s="68">
        <f t="shared" si="43"/>
        <v>10</v>
      </c>
      <c r="I118" s="68">
        <f t="shared" si="43"/>
        <v>10.6</v>
      </c>
      <c r="J118" s="68">
        <f t="shared" si="43"/>
        <v>11.1</v>
      </c>
      <c r="K118" s="148"/>
      <c r="M118" s="68">
        <v>10</v>
      </c>
    </row>
    <row r="119" spans="1:13" ht="56.25" x14ac:dyDescent="0.25">
      <c r="A119" s="139" t="s">
        <v>583</v>
      </c>
      <c r="B119" s="360" t="s">
        <v>507</v>
      </c>
      <c r="C119" s="139" t="s">
        <v>10</v>
      </c>
      <c r="D119" s="139" t="s">
        <v>88</v>
      </c>
      <c r="E119" s="139" t="s">
        <v>428</v>
      </c>
      <c r="F119" s="139" t="s">
        <v>508</v>
      </c>
      <c r="G119" s="139"/>
      <c r="H119" s="68">
        <f t="shared" si="43"/>
        <v>10</v>
      </c>
      <c r="I119" s="68">
        <f t="shared" si="43"/>
        <v>10.6</v>
      </c>
      <c r="J119" s="68">
        <f t="shared" si="43"/>
        <v>11.1</v>
      </c>
      <c r="K119" s="148"/>
      <c r="M119" s="68">
        <v>10</v>
      </c>
    </row>
    <row r="120" spans="1:13" ht="56.25" x14ac:dyDescent="0.25">
      <c r="A120" s="139" t="s">
        <v>584</v>
      </c>
      <c r="B120" s="219" t="s">
        <v>527</v>
      </c>
      <c r="C120" s="139" t="s">
        <v>10</v>
      </c>
      <c r="D120" s="139" t="s">
        <v>88</v>
      </c>
      <c r="E120" s="139" t="s">
        <v>428</v>
      </c>
      <c r="F120" s="139" t="s">
        <v>528</v>
      </c>
      <c r="G120" s="139"/>
      <c r="H120" s="68">
        <f>H121</f>
        <v>10</v>
      </c>
      <c r="I120" s="68">
        <f t="shared" si="43"/>
        <v>10.6</v>
      </c>
      <c r="J120" s="68">
        <f t="shared" si="43"/>
        <v>11.1</v>
      </c>
      <c r="K120" s="148"/>
      <c r="M120" s="68">
        <v>10</v>
      </c>
    </row>
    <row r="121" spans="1:13" x14ac:dyDescent="0.25">
      <c r="A121" s="71" t="s">
        <v>585</v>
      </c>
      <c r="B121" s="145" t="s">
        <v>545</v>
      </c>
      <c r="C121" s="71" t="s">
        <v>10</v>
      </c>
      <c r="D121" s="71" t="s">
        <v>88</v>
      </c>
      <c r="E121" s="71" t="s">
        <v>428</v>
      </c>
      <c r="F121" s="71" t="s">
        <v>528</v>
      </c>
      <c r="G121" s="71" t="s">
        <v>839</v>
      </c>
      <c r="H121" s="69">
        <v>10</v>
      </c>
      <c r="I121" s="239">
        <v>10.6</v>
      </c>
      <c r="J121" s="239">
        <v>11.1</v>
      </c>
      <c r="K121" s="148"/>
      <c r="M121" s="69">
        <v>10</v>
      </c>
    </row>
    <row r="122" spans="1:13" ht="20.25" x14ac:dyDescent="0.25">
      <c r="A122" s="372" t="s">
        <v>25</v>
      </c>
      <c r="B122" s="373" t="s">
        <v>90</v>
      </c>
      <c r="C122" s="372" t="s">
        <v>10</v>
      </c>
      <c r="D122" s="372" t="s">
        <v>91</v>
      </c>
      <c r="E122" s="372"/>
      <c r="F122" s="372"/>
      <c r="G122" s="372"/>
      <c r="H122" s="246">
        <f>H123</f>
        <v>19902</v>
      </c>
      <c r="I122" s="246">
        <f t="shared" ref="I122:J122" si="44">I123</f>
        <v>16971.8</v>
      </c>
      <c r="J122" s="246">
        <f t="shared" si="44"/>
        <v>22851.300000000003</v>
      </c>
      <c r="K122" s="148"/>
      <c r="M122" s="269">
        <v>19902</v>
      </c>
    </row>
    <row r="123" spans="1:13" x14ac:dyDescent="0.25">
      <c r="A123" s="247" t="s">
        <v>449</v>
      </c>
      <c r="B123" s="222" t="s">
        <v>92</v>
      </c>
      <c r="C123" s="247" t="s">
        <v>10</v>
      </c>
      <c r="D123" s="247" t="s">
        <v>93</v>
      </c>
      <c r="E123" s="255"/>
      <c r="F123" s="247"/>
      <c r="G123" s="247"/>
      <c r="H123" s="248">
        <f>H124+H172+H181+H150+H158+H166+H187+H144</f>
        <v>19902</v>
      </c>
      <c r="I123" s="248">
        <f t="shared" ref="I123:J123" si="45">I124+I172+I181+I150+I158+I166+I187+I144</f>
        <v>16971.8</v>
      </c>
      <c r="J123" s="248">
        <f t="shared" si="45"/>
        <v>22851.300000000003</v>
      </c>
      <c r="K123" s="148"/>
      <c r="M123" s="271">
        <v>19902</v>
      </c>
    </row>
    <row r="124" spans="1:13" ht="42" customHeight="1" x14ac:dyDescent="0.25">
      <c r="A124" s="139" t="s">
        <v>310</v>
      </c>
      <c r="B124" s="219" t="s">
        <v>586</v>
      </c>
      <c r="C124" s="139" t="s">
        <v>10</v>
      </c>
      <c r="D124" s="139" t="s">
        <v>93</v>
      </c>
      <c r="E124" s="139" t="s">
        <v>587</v>
      </c>
      <c r="F124" s="139"/>
      <c r="G124" s="139"/>
      <c r="H124" s="68">
        <f>H125+H135</f>
        <v>600.1</v>
      </c>
      <c r="I124" s="68">
        <f t="shared" ref="I124:J124" si="46">I125+I135</f>
        <v>520.29999999999995</v>
      </c>
      <c r="J124" s="68">
        <f t="shared" si="46"/>
        <v>523.40000000000009</v>
      </c>
      <c r="K124" s="148"/>
      <c r="M124" s="67">
        <v>600.1</v>
      </c>
    </row>
    <row r="125" spans="1:13" ht="37.5" x14ac:dyDescent="0.25">
      <c r="A125" s="139" t="s">
        <v>289</v>
      </c>
      <c r="B125" s="219" t="s">
        <v>94</v>
      </c>
      <c r="C125" s="139" t="s">
        <v>10</v>
      </c>
      <c r="D125" s="139" t="s">
        <v>93</v>
      </c>
      <c r="E125" s="139" t="s">
        <v>95</v>
      </c>
      <c r="F125" s="139"/>
      <c r="G125" s="139"/>
      <c r="H125" s="68">
        <f>H126</f>
        <v>350.1</v>
      </c>
      <c r="I125" s="68">
        <f t="shared" ref="I125:J127" si="47">I126</f>
        <v>340.7</v>
      </c>
      <c r="J125" s="68">
        <f t="shared" si="47"/>
        <v>334.3</v>
      </c>
      <c r="K125" s="148"/>
      <c r="M125" s="67">
        <v>350.1</v>
      </c>
    </row>
    <row r="126" spans="1:13" ht="37.5" x14ac:dyDescent="0.25">
      <c r="A126" s="139" t="s">
        <v>454</v>
      </c>
      <c r="B126" s="219" t="s">
        <v>46</v>
      </c>
      <c r="C126" s="139" t="s">
        <v>10</v>
      </c>
      <c r="D126" s="139" t="s">
        <v>93</v>
      </c>
      <c r="E126" s="139" t="s">
        <v>95</v>
      </c>
      <c r="F126" s="139" t="s">
        <v>47</v>
      </c>
      <c r="G126" s="139"/>
      <c r="H126" s="68">
        <f>H127</f>
        <v>350.1</v>
      </c>
      <c r="I126" s="68">
        <f t="shared" si="47"/>
        <v>340.7</v>
      </c>
      <c r="J126" s="68">
        <f t="shared" si="47"/>
        <v>334.3</v>
      </c>
      <c r="K126" s="148"/>
      <c r="M126" s="67">
        <v>350.1</v>
      </c>
    </row>
    <row r="127" spans="1:13" ht="56.25" x14ac:dyDescent="0.25">
      <c r="A127" s="139" t="s">
        <v>588</v>
      </c>
      <c r="B127" s="360" t="s">
        <v>507</v>
      </c>
      <c r="C127" s="139" t="s">
        <v>10</v>
      </c>
      <c r="D127" s="139" t="s">
        <v>93</v>
      </c>
      <c r="E127" s="139" t="s">
        <v>95</v>
      </c>
      <c r="F127" s="139" t="s">
        <v>508</v>
      </c>
      <c r="G127" s="139"/>
      <c r="H127" s="68">
        <f>H128</f>
        <v>350.1</v>
      </c>
      <c r="I127" s="68">
        <f t="shared" si="47"/>
        <v>340.7</v>
      </c>
      <c r="J127" s="68">
        <f t="shared" si="47"/>
        <v>334.3</v>
      </c>
      <c r="K127" s="148"/>
      <c r="M127" s="67">
        <v>350.1</v>
      </c>
    </row>
    <row r="128" spans="1:13" ht="56.25" x14ac:dyDescent="0.25">
      <c r="A128" s="139" t="s">
        <v>589</v>
      </c>
      <c r="B128" s="219" t="s">
        <v>527</v>
      </c>
      <c r="C128" s="139" t="s">
        <v>10</v>
      </c>
      <c r="D128" s="139" t="s">
        <v>93</v>
      </c>
      <c r="E128" s="139" t="s">
        <v>95</v>
      </c>
      <c r="F128" s="139" t="s">
        <v>528</v>
      </c>
      <c r="G128" s="139"/>
      <c r="H128" s="68">
        <f>H129+H132</f>
        <v>350.1</v>
      </c>
      <c r="I128" s="68">
        <f t="shared" ref="I128:J128" si="48">I129+I132</f>
        <v>340.7</v>
      </c>
      <c r="J128" s="68">
        <f t="shared" si="48"/>
        <v>334.3</v>
      </c>
      <c r="K128" s="148"/>
      <c r="M128" s="68">
        <v>350.1</v>
      </c>
    </row>
    <row r="129" spans="1:13" x14ac:dyDescent="0.25">
      <c r="A129" s="139" t="s">
        <v>590</v>
      </c>
      <c r="B129" s="219" t="s">
        <v>511</v>
      </c>
      <c r="C129" s="139" t="s">
        <v>10</v>
      </c>
      <c r="D129" s="139" t="s">
        <v>93</v>
      </c>
      <c r="E129" s="139" t="s">
        <v>95</v>
      </c>
      <c r="F129" s="139" t="s">
        <v>528</v>
      </c>
      <c r="G129" s="139" t="s">
        <v>512</v>
      </c>
      <c r="H129" s="68">
        <f>H130+H131</f>
        <v>282</v>
      </c>
      <c r="I129" s="68">
        <f t="shared" ref="I129:J129" si="49">I130+I131</f>
        <v>198.5</v>
      </c>
      <c r="J129" s="68">
        <f t="shared" si="49"/>
        <v>209.5</v>
      </c>
      <c r="K129" s="287"/>
      <c r="L129" s="306">
        <f>H129-M129</f>
        <v>-7.4000000000000341</v>
      </c>
      <c r="M129" s="68">
        <v>289.40000000000003</v>
      </c>
    </row>
    <row r="130" spans="1:13" x14ac:dyDescent="0.25">
      <c r="A130" s="71" t="s">
        <v>591</v>
      </c>
      <c r="B130" s="145" t="s">
        <v>534</v>
      </c>
      <c r="C130" s="71" t="s">
        <v>10</v>
      </c>
      <c r="D130" s="71" t="s">
        <v>93</v>
      </c>
      <c r="E130" s="71" t="s">
        <v>95</v>
      </c>
      <c r="F130" s="71" t="s">
        <v>528</v>
      </c>
      <c r="G130" s="71" t="s">
        <v>535</v>
      </c>
      <c r="H130" s="69">
        <v>266.3</v>
      </c>
      <c r="I130" s="249">
        <v>163.1</v>
      </c>
      <c r="J130" s="249">
        <v>178.4</v>
      </c>
      <c r="K130" s="287" t="s">
        <v>851</v>
      </c>
      <c r="L130" s="309">
        <f t="shared" ref="L130:L134" si="50">H130-M130</f>
        <v>-8</v>
      </c>
      <c r="M130" s="69">
        <v>274.3</v>
      </c>
    </row>
    <row r="131" spans="1:13" x14ac:dyDescent="0.25">
      <c r="A131" s="71" t="s">
        <v>592</v>
      </c>
      <c r="B131" s="145" t="s">
        <v>517</v>
      </c>
      <c r="C131" s="71" t="s">
        <v>10</v>
      </c>
      <c r="D131" s="71" t="s">
        <v>93</v>
      </c>
      <c r="E131" s="71" t="s">
        <v>95</v>
      </c>
      <c r="F131" s="71" t="s">
        <v>528</v>
      </c>
      <c r="G131" s="71" t="s">
        <v>518</v>
      </c>
      <c r="H131" s="69">
        <v>15.7</v>
      </c>
      <c r="I131" s="249">
        <v>35.4</v>
      </c>
      <c r="J131" s="249">
        <v>31.1</v>
      </c>
      <c r="K131" s="287" t="s">
        <v>851</v>
      </c>
      <c r="L131" s="309">
        <f t="shared" si="50"/>
        <v>0.59999999999999964</v>
      </c>
      <c r="M131" s="69">
        <v>15.1</v>
      </c>
    </row>
    <row r="132" spans="1:13" x14ac:dyDescent="0.25">
      <c r="A132" s="139" t="s">
        <v>593</v>
      </c>
      <c r="B132" s="219" t="s">
        <v>520</v>
      </c>
      <c r="C132" s="139" t="s">
        <v>10</v>
      </c>
      <c r="D132" s="139" t="s">
        <v>93</v>
      </c>
      <c r="E132" s="139" t="s">
        <v>95</v>
      </c>
      <c r="F132" s="139" t="s">
        <v>528</v>
      </c>
      <c r="G132" s="139" t="s">
        <v>142</v>
      </c>
      <c r="H132" s="68">
        <f>H133+H134</f>
        <v>68.099999999999994</v>
      </c>
      <c r="I132" s="68">
        <f t="shared" ref="I132:J132" si="51">I133</f>
        <v>142.19999999999999</v>
      </c>
      <c r="J132" s="68">
        <f t="shared" si="51"/>
        <v>124.8</v>
      </c>
      <c r="K132" s="287"/>
      <c r="L132" s="306">
        <f t="shared" si="50"/>
        <v>7.3999999999999915</v>
      </c>
      <c r="M132" s="68">
        <v>60.7</v>
      </c>
    </row>
    <row r="133" spans="1:13" x14ac:dyDescent="0.25">
      <c r="A133" s="71" t="s">
        <v>594</v>
      </c>
      <c r="B133" s="145" t="s">
        <v>522</v>
      </c>
      <c r="C133" s="71" t="s">
        <v>10</v>
      </c>
      <c r="D133" s="71" t="s">
        <v>93</v>
      </c>
      <c r="E133" s="71" t="s">
        <v>95</v>
      </c>
      <c r="F133" s="71" t="s">
        <v>528</v>
      </c>
      <c r="G133" s="71" t="s">
        <v>523</v>
      </c>
      <c r="H133" s="69">
        <v>65.599999999999994</v>
      </c>
      <c r="I133" s="249">
        <v>142.19999999999999</v>
      </c>
      <c r="J133" s="249">
        <v>124.8</v>
      </c>
      <c r="K133" s="287" t="s">
        <v>851</v>
      </c>
      <c r="L133" s="309">
        <f t="shared" si="50"/>
        <v>4.8999999999999915</v>
      </c>
      <c r="M133" s="69">
        <v>60.7</v>
      </c>
    </row>
    <row r="134" spans="1:13" x14ac:dyDescent="0.25">
      <c r="A134" s="71" t="s">
        <v>884</v>
      </c>
      <c r="B134" s="145" t="s">
        <v>525</v>
      </c>
      <c r="C134" s="71" t="s">
        <v>10</v>
      </c>
      <c r="D134" s="71" t="s">
        <v>93</v>
      </c>
      <c r="E134" s="71" t="s">
        <v>95</v>
      </c>
      <c r="F134" s="71" t="s">
        <v>528</v>
      </c>
      <c r="G134" s="71" t="s">
        <v>526</v>
      </c>
      <c r="H134" s="69">
        <v>2.5</v>
      </c>
      <c r="I134" s="249">
        <v>0</v>
      </c>
      <c r="J134" s="249">
        <v>0</v>
      </c>
      <c r="K134" s="287" t="s">
        <v>851</v>
      </c>
      <c r="L134" s="309">
        <f t="shared" si="50"/>
        <v>2.5</v>
      </c>
      <c r="M134" s="69">
        <v>0</v>
      </c>
    </row>
    <row r="135" spans="1:13" ht="93.75" x14ac:dyDescent="0.25">
      <c r="A135" s="139" t="s">
        <v>462</v>
      </c>
      <c r="B135" s="219" t="s">
        <v>96</v>
      </c>
      <c r="C135" s="139" t="s">
        <v>10</v>
      </c>
      <c r="D135" s="139" t="s">
        <v>93</v>
      </c>
      <c r="E135" s="139" t="s">
        <v>248</v>
      </c>
      <c r="F135" s="139"/>
      <c r="G135" s="139"/>
      <c r="H135" s="68">
        <f>H136</f>
        <v>250</v>
      </c>
      <c r="I135" s="68">
        <f t="shared" ref="I135:J137" si="52">I136</f>
        <v>179.60000000000002</v>
      </c>
      <c r="J135" s="68">
        <f t="shared" si="52"/>
        <v>189.10000000000002</v>
      </c>
      <c r="K135" s="148"/>
      <c r="M135" s="68">
        <v>250</v>
      </c>
    </row>
    <row r="136" spans="1:13" ht="37.5" x14ac:dyDescent="0.25">
      <c r="A136" s="139" t="s">
        <v>426</v>
      </c>
      <c r="B136" s="219" t="s">
        <v>46</v>
      </c>
      <c r="C136" s="139" t="s">
        <v>10</v>
      </c>
      <c r="D136" s="139" t="s">
        <v>93</v>
      </c>
      <c r="E136" s="139" t="s">
        <v>248</v>
      </c>
      <c r="F136" s="139" t="s">
        <v>47</v>
      </c>
      <c r="G136" s="139"/>
      <c r="H136" s="68">
        <f>H137</f>
        <v>250</v>
      </c>
      <c r="I136" s="68">
        <f t="shared" si="52"/>
        <v>179.60000000000002</v>
      </c>
      <c r="J136" s="68">
        <f t="shared" si="52"/>
        <v>189.10000000000002</v>
      </c>
      <c r="K136" s="148"/>
      <c r="M136" s="67">
        <v>250</v>
      </c>
    </row>
    <row r="137" spans="1:13" ht="56.25" x14ac:dyDescent="0.25">
      <c r="A137" s="139" t="s">
        <v>595</v>
      </c>
      <c r="B137" s="360" t="s">
        <v>507</v>
      </c>
      <c r="C137" s="139" t="s">
        <v>10</v>
      </c>
      <c r="D137" s="139" t="s">
        <v>93</v>
      </c>
      <c r="E137" s="139" t="s">
        <v>248</v>
      </c>
      <c r="F137" s="139" t="s">
        <v>508</v>
      </c>
      <c r="G137" s="139"/>
      <c r="H137" s="68">
        <f>H138</f>
        <v>250</v>
      </c>
      <c r="I137" s="68">
        <f t="shared" si="52"/>
        <v>179.60000000000002</v>
      </c>
      <c r="J137" s="68">
        <f t="shared" si="52"/>
        <v>189.10000000000002</v>
      </c>
      <c r="K137" s="148"/>
      <c r="M137" s="67">
        <v>250</v>
      </c>
    </row>
    <row r="138" spans="1:13" ht="56.25" x14ac:dyDescent="0.25">
      <c r="A138" s="139" t="s">
        <v>596</v>
      </c>
      <c r="B138" s="219" t="s">
        <v>527</v>
      </c>
      <c r="C138" s="139" t="s">
        <v>10</v>
      </c>
      <c r="D138" s="139" t="s">
        <v>93</v>
      </c>
      <c r="E138" s="139" t="s">
        <v>248</v>
      </c>
      <c r="F138" s="139" t="s">
        <v>528</v>
      </c>
      <c r="G138" s="139"/>
      <c r="H138" s="68">
        <f>H139+H141</f>
        <v>250</v>
      </c>
      <c r="I138" s="68">
        <f t="shared" ref="I138:J138" si="53">I139+I141</f>
        <v>179.60000000000002</v>
      </c>
      <c r="J138" s="68">
        <f t="shared" si="53"/>
        <v>189.10000000000002</v>
      </c>
      <c r="K138" s="148"/>
      <c r="M138" s="68">
        <v>250</v>
      </c>
    </row>
    <row r="139" spans="1:13" x14ac:dyDescent="0.25">
      <c r="A139" s="139" t="s">
        <v>597</v>
      </c>
      <c r="B139" s="219" t="s">
        <v>511</v>
      </c>
      <c r="C139" s="139" t="s">
        <v>10</v>
      </c>
      <c r="D139" s="139" t="s">
        <v>93</v>
      </c>
      <c r="E139" s="139" t="s">
        <v>248</v>
      </c>
      <c r="F139" s="139" t="s">
        <v>528</v>
      </c>
      <c r="G139" s="139" t="s">
        <v>512</v>
      </c>
      <c r="H139" s="68">
        <f>SUM(H140:H140)</f>
        <v>23</v>
      </c>
      <c r="I139" s="68">
        <f t="shared" ref="I139:J139" si="54">SUM(I140:I140)</f>
        <v>16.5</v>
      </c>
      <c r="J139" s="68">
        <f t="shared" si="54"/>
        <v>17.399999999999999</v>
      </c>
      <c r="K139" s="148"/>
      <c r="M139" s="68">
        <v>23</v>
      </c>
    </row>
    <row r="140" spans="1:13" x14ac:dyDescent="0.25">
      <c r="A140" s="71" t="s">
        <v>598</v>
      </c>
      <c r="B140" s="145" t="s">
        <v>517</v>
      </c>
      <c r="C140" s="71" t="s">
        <v>10</v>
      </c>
      <c r="D140" s="71" t="s">
        <v>93</v>
      </c>
      <c r="E140" s="71" t="s">
        <v>248</v>
      </c>
      <c r="F140" s="71" t="s">
        <v>528</v>
      </c>
      <c r="G140" s="71" t="s">
        <v>518</v>
      </c>
      <c r="H140" s="69">
        <v>23</v>
      </c>
      <c r="I140" s="249">
        <v>16.5</v>
      </c>
      <c r="J140" s="249">
        <v>17.399999999999999</v>
      </c>
      <c r="K140" s="148"/>
      <c r="M140" s="69">
        <v>23</v>
      </c>
    </row>
    <row r="141" spans="1:13" x14ac:dyDescent="0.25">
      <c r="A141" s="139" t="s">
        <v>599</v>
      </c>
      <c r="B141" s="219" t="s">
        <v>520</v>
      </c>
      <c r="C141" s="139" t="s">
        <v>10</v>
      </c>
      <c r="D141" s="139" t="s">
        <v>93</v>
      </c>
      <c r="E141" s="139" t="s">
        <v>248</v>
      </c>
      <c r="F141" s="139" t="s">
        <v>528</v>
      </c>
      <c r="G141" s="139" t="s">
        <v>142</v>
      </c>
      <c r="H141" s="68">
        <f>SUM(H142:H143)</f>
        <v>227</v>
      </c>
      <c r="I141" s="68">
        <f t="shared" ref="I141:J141" si="55">SUM(I142:I143)</f>
        <v>163.10000000000002</v>
      </c>
      <c r="J141" s="68">
        <f t="shared" si="55"/>
        <v>171.70000000000002</v>
      </c>
      <c r="K141" s="148"/>
      <c r="M141" s="68">
        <v>227</v>
      </c>
    </row>
    <row r="142" spans="1:13" x14ac:dyDescent="0.25">
      <c r="A142" s="71" t="s">
        <v>600</v>
      </c>
      <c r="B142" s="145" t="s">
        <v>522</v>
      </c>
      <c r="C142" s="71" t="s">
        <v>10</v>
      </c>
      <c r="D142" s="71" t="s">
        <v>93</v>
      </c>
      <c r="E142" s="71" t="s">
        <v>248</v>
      </c>
      <c r="F142" s="71" t="s">
        <v>528</v>
      </c>
      <c r="G142" s="71" t="s">
        <v>523</v>
      </c>
      <c r="H142" s="69">
        <v>213.3</v>
      </c>
      <c r="I142" s="249">
        <v>153.30000000000001</v>
      </c>
      <c r="J142" s="249">
        <v>161.4</v>
      </c>
      <c r="K142" s="148"/>
      <c r="M142" s="69">
        <v>213.3</v>
      </c>
    </row>
    <row r="143" spans="1:13" x14ac:dyDescent="0.25">
      <c r="A143" s="71" t="s">
        <v>601</v>
      </c>
      <c r="B143" s="145" t="s">
        <v>525</v>
      </c>
      <c r="C143" s="71" t="s">
        <v>10</v>
      </c>
      <c r="D143" s="71" t="s">
        <v>93</v>
      </c>
      <c r="E143" s="71" t="s">
        <v>248</v>
      </c>
      <c r="F143" s="71" t="s">
        <v>528</v>
      </c>
      <c r="G143" s="71" t="s">
        <v>526</v>
      </c>
      <c r="H143" s="69">
        <v>13.7</v>
      </c>
      <c r="I143" s="249">
        <v>9.8000000000000007</v>
      </c>
      <c r="J143" s="249">
        <v>10.3</v>
      </c>
      <c r="K143" s="148"/>
      <c r="M143" s="69">
        <v>13.7</v>
      </c>
    </row>
    <row r="144" spans="1:13" ht="59.25" customHeight="1" x14ac:dyDescent="0.3">
      <c r="A144" s="139" t="s">
        <v>602</v>
      </c>
      <c r="B144" s="219" t="s">
        <v>852</v>
      </c>
      <c r="C144" s="29" t="s">
        <v>10</v>
      </c>
      <c r="D144" s="29" t="s">
        <v>93</v>
      </c>
      <c r="E144" s="29" t="s">
        <v>853</v>
      </c>
      <c r="F144" s="29"/>
      <c r="G144" s="29"/>
      <c r="H144" s="55">
        <f>H145</f>
        <v>60</v>
      </c>
      <c r="I144" s="55">
        <f t="shared" ref="I144:J148" si="56">I145</f>
        <v>0</v>
      </c>
      <c r="J144" s="55">
        <f t="shared" si="56"/>
        <v>0</v>
      </c>
      <c r="K144" s="287" t="s">
        <v>851</v>
      </c>
      <c r="M144" s="289">
        <v>60</v>
      </c>
    </row>
    <row r="145" spans="1:13" ht="37.5" x14ac:dyDescent="0.3">
      <c r="A145" s="139" t="s">
        <v>603</v>
      </c>
      <c r="B145" s="219" t="s">
        <v>46</v>
      </c>
      <c r="C145" s="29" t="s">
        <v>10</v>
      </c>
      <c r="D145" s="29" t="s">
        <v>93</v>
      </c>
      <c r="E145" s="29" t="s">
        <v>853</v>
      </c>
      <c r="F145" s="29" t="s">
        <v>47</v>
      </c>
      <c r="G145" s="29"/>
      <c r="H145" s="55">
        <f>H146</f>
        <v>60</v>
      </c>
      <c r="I145" s="55">
        <f t="shared" si="56"/>
        <v>0</v>
      </c>
      <c r="J145" s="55">
        <f t="shared" si="56"/>
        <v>0</v>
      </c>
      <c r="K145" s="148"/>
      <c r="M145" s="289">
        <v>60</v>
      </c>
    </row>
    <row r="146" spans="1:13" ht="56.25" x14ac:dyDescent="0.3">
      <c r="A146" s="139" t="s">
        <v>604</v>
      </c>
      <c r="B146" s="358" t="s">
        <v>507</v>
      </c>
      <c r="C146" s="29" t="s">
        <v>10</v>
      </c>
      <c r="D146" s="29" t="s">
        <v>93</v>
      </c>
      <c r="E146" s="29" t="s">
        <v>853</v>
      </c>
      <c r="F146" s="29" t="s">
        <v>508</v>
      </c>
      <c r="G146" s="29"/>
      <c r="H146" s="55">
        <f>H147</f>
        <v>60</v>
      </c>
      <c r="I146" s="55">
        <f t="shared" si="56"/>
        <v>0</v>
      </c>
      <c r="J146" s="55">
        <f t="shared" si="56"/>
        <v>0</v>
      </c>
      <c r="K146" s="148"/>
      <c r="M146" s="289">
        <v>60</v>
      </c>
    </row>
    <row r="147" spans="1:13" ht="56.25" x14ac:dyDescent="0.3">
      <c r="A147" s="139" t="s">
        <v>605</v>
      </c>
      <c r="B147" s="219" t="s">
        <v>527</v>
      </c>
      <c r="C147" s="29" t="s">
        <v>10</v>
      </c>
      <c r="D147" s="29" t="s">
        <v>93</v>
      </c>
      <c r="E147" s="29" t="s">
        <v>853</v>
      </c>
      <c r="F147" s="29" t="s">
        <v>528</v>
      </c>
      <c r="G147" s="29"/>
      <c r="H147" s="55">
        <f>H148</f>
        <v>60</v>
      </c>
      <c r="I147" s="55">
        <f t="shared" si="56"/>
        <v>0</v>
      </c>
      <c r="J147" s="55">
        <f t="shared" si="56"/>
        <v>0</v>
      </c>
      <c r="K147" s="148"/>
      <c r="M147" s="289">
        <v>60</v>
      </c>
    </row>
    <row r="148" spans="1:13" x14ac:dyDescent="0.3">
      <c r="A148" s="139" t="s">
        <v>606</v>
      </c>
      <c r="B148" s="219" t="s">
        <v>511</v>
      </c>
      <c r="C148" s="29" t="s">
        <v>10</v>
      </c>
      <c r="D148" s="29" t="s">
        <v>93</v>
      </c>
      <c r="E148" s="29" t="s">
        <v>853</v>
      </c>
      <c r="F148" s="29" t="s">
        <v>528</v>
      </c>
      <c r="G148" s="29" t="s">
        <v>512</v>
      </c>
      <c r="H148" s="55">
        <f>H149</f>
        <v>60</v>
      </c>
      <c r="I148" s="55">
        <f t="shared" si="56"/>
        <v>0</v>
      </c>
      <c r="J148" s="55">
        <f t="shared" si="56"/>
        <v>0</v>
      </c>
      <c r="K148" s="148"/>
      <c r="M148" s="289">
        <v>60</v>
      </c>
    </row>
    <row r="149" spans="1:13" x14ac:dyDescent="0.3">
      <c r="A149" s="71" t="s">
        <v>607</v>
      </c>
      <c r="B149" s="145" t="s">
        <v>517</v>
      </c>
      <c r="C149" s="18" t="s">
        <v>10</v>
      </c>
      <c r="D149" s="18" t="s">
        <v>93</v>
      </c>
      <c r="E149" s="18" t="s">
        <v>853</v>
      </c>
      <c r="F149" s="18" t="s">
        <v>528</v>
      </c>
      <c r="G149" s="18" t="s">
        <v>518</v>
      </c>
      <c r="H149" s="19">
        <f>K149</f>
        <v>60</v>
      </c>
      <c r="I149" s="312">
        <v>0</v>
      </c>
      <c r="J149" s="312">
        <v>0</v>
      </c>
      <c r="K149" s="232">
        <v>60</v>
      </c>
      <c r="M149" s="290">
        <v>60</v>
      </c>
    </row>
    <row r="150" spans="1:13" ht="54" customHeight="1" x14ac:dyDescent="0.25">
      <c r="A150" s="139" t="s">
        <v>608</v>
      </c>
      <c r="B150" s="219" t="s">
        <v>97</v>
      </c>
      <c r="C150" s="139" t="s">
        <v>10</v>
      </c>
      <c r="D150" s="139" t="s">
        <v>93</v>
      </c>
      <c r="E150" s="139" t="s">
        <v>98</v>
      </c>
      <c r="F150" s="139"/>
      <c r="G150" s="139"/>
      <c r="H150" s="68">
        <f>H151</f>
        <v>4346.7999999999993</v>
      </c>
      <c r="I150" s="68">
        <f t="shared" ref="I150:J152" si="57">I151</f>
        <v>955.7</v>
      </c>
      <c r="J150" s="68">
        <f t="shared" si="57"/>
        <v>1006.4000000000002</v>
      </c>
      <c r="K150" s="287" t="s">
        <v>851</v>
      </c>
      <c r="M150" s="68">
        <v>4346.7999999999993</v>
      </c>
    </row>
    <row r="151" spans="1:13" ht="37.5" x14ac:dyDescent="0.25">
      <c r="A151" s="139" t="s">
        <v>609</v>
      </c>
      <c r="B151" s="219" t="s">
        <v>46</v>
      </c>
      <c r="C151" s="139" t="s">
        <v>10</v>
      </c>
      <c r="D151" s="139" t="s">
        <v>93</v>
      </c>
      <c r="E151" s="139" t="s">
        <v>98</v>
      </c>
      <c r="F151" s="139" t="s">
        <v>47</v>
      </c>
      <c r="G151" s="139"/>
      <c r="H151" s="68">
        <f>H152</f>
        <v>4346.7999999999993</v>
      </c>
      <c r="I151" s="68">
        <f t="shared" si="57"/>
        <v>955.7</v>
      </c>
      <c r="J151" s="68">
        <f t="shared" si="57"/>
        <v>1006.4000000000002</v>
      </c>
      <c r="K151" s="148"/>
      <c r="M151" s="68">
        <v>4346.7999999999993</v>
      </c>
    </row>
    <row r="152" spans="1:13" ht="43.5" customHeight="1" x14ac:dyDescent="0.25">
      <c r="A152" s="139" t="s">
        <v>610</v>
      </c>
      <c r="B152" s="360" t="s">
        <v>507</v>
      </c>
      <c r="C152" s="139" t="s">
        <v>10</v>
      </c>
      <c r="D152" s="139" t="s">
        <v>93</v>
      </c>
      <c r="E152" s="139" t="s">
        <v>98</v>
      </c>
      <c r="F152" s="139" t="s">
        <v>508</v>
      </c>
      <c r="G152" s="139"/>
      <c r="H152" s="68">
        <f>H153</f>
        <v>4346.7999999999993</v>
      </c>
      <c r="I152" s="68">
        <f t="shared" si="57"/>
        <v>955.7</v>
      </c>
      <c r="J152" s="68">
        <f t="shared" si="57"/>
        <v>1006.4000000000002</v>
      </c>
      <c r="K152" s="148"/>
      <c r="M152" s="68">
        <v>4346.7999999999993</v>
      </c>
    </row>
    <row r="153" spans="1:13" ht="56.25" x14ac:dyDescent="0.25">
      <c r="A153" s="139" t="s">
        <v>611</v>
      </c>
      <c r="B153" s="219" t="s">
        <v>527</v>
      </c>
      <c r="C153" s="139" t="s">
        <v>10</v>
      </c>
      <c r="D153" s="139" t="s">
        <v>93</v>
      </c>
      <c r="E153" s="139" t="s">
        <v>98</v>
      </c>
      <c r="F153" s="139" t="s">
        <v>528</v>
      </c>
      <c r="G153" s="139"/>
      <c r="H153" s="68">
        <f>H154+H156</f>
        <v>4346.7999999999993</v>
      </c>
      <c r="I153" s="68">
        <f t="shared" ref="I153:J153" si="58">I154+I156</f>
        <v>955.7</v>
      </c>
      <c r="J153" s="68">
        <f t="shared" si="58"/>
        <v>1006.4000000000002</v>
      </c>
      <c r="K153" s="148"/>
      <c r="M153" s="68">
        <v>4346.7999999999993</v>
      </c>
    </row>
    <row r="154" spans="1:13" x14ac:dyDescent="0.25">
      <c r="A154" s="139" t="s">
        <v>612</v>
      </c>
      <c r="B154" s="219" t="s">
        <v>511</v>
      </c>
      <c r="C154" s="139" t="s">
        <v>10</v>
      </c>
      <c r="D154" s="139" t="s">
        <v>93</v>
      </c>
      <c r="E154" s="139" t="s">
        <v>98</v>
      </c>
      <c r="F154" s="139" t="s">
        <v>528</v>
      </c>
      <c r="G154" s="139" t="s">
        <v>512</v>
      </c>
      <c r="H154" s="68">
        <f>H155</f>
        <v>4146.8999999999996</v>
      </c>
      <c r="I154" s="68">
        <f t="shared" ref="I154:J154" si="59">I155</f>
        <v>764.7</v>
      </c>
      <c r="J154" s="68">
        <f t="shared" si="59"/>
        <v>805.30000000000018</v>
      </c>
      <c r="K154" s="148"/>
      <c r="M154" s="68">
        <v>4146.8999999999996</v>
      </c>
    </row>
    <row r="155" spans="1:13" x14ac:dyDescent="0.25">
      <c r="A155" s="71" t="s">
        <v>613</v>
      </c>
      <c r="B155" s="145" t="s">
        <v>517</v>
      </c>
      <c r="C155" s="71" t="s">
        <v>10</v>
      </c>
      <c r="D155" s="71" t="s">
        <v>93</v>
      </c>
      <c r="E155" s="71" t="s">
        <v>98</v>
      </c>
      <c r="F155" s="71" t="s">
        <v>528</v>
      </c>
      <c r="G155" s="71" t="s">
        <v>518</v>
      </c>
      <c r="H155" s="69">
        <f>4046.9+K155</f>
        <v>4146.8999999999996</v>
      </c>
      <c r="I155" s="239">
        <v>764.7</v>
      </c>
      <c r="J155" s="239">
        <f>4781.3-3976</f>
        <v>805.30000000000018</v>
      </c>
      <c r="K155" s="232">
        <v>100</v>
      </c>
      <c r="M155" s="69">
        <v>4146.8999999999996</v>
      </c>
    </row>
    <row r="156" spans="1:13" x14ac:dyDescent="0.25">
      <c r="A156" s="139" t="s">
        <v>614</v>
      </c>
      <c r="B156" s="219" t="s">
        <v>520</v>
      </c>
      <c r="C156" s="139" t="s">
        <v>10</v>
      </c>
      <c r="D156" s="139" t="s">
        <v>93</v>
      </c>
      <c r="E156" s="139" t="s">
        <v>98</v>
      </c>
      <c r="F156" s="139" t="s">
        <v>528</v>
      </c>
      <c r="G156" s="139" t="s">
        <v>142</v>
      </c>
      <c r="H156" s="68">
        <f>SUM(H157:H157)</f>
        <v>199.9</v>
      </c>
      <c r="I156" s="68">
        <f t="shared" ref="I156:J156" si="60">SUM(I157:I157)</f>
        <v>191</v>
      </c>
      <c r="J156" s="68">
        <f t="shared" si="60"/>
        <v>201.1</v>
      </c>
      <c r="K156" s="148"/>
      <c r="M156" s="68">
        <v>199.9</v>
      </c>
    </row>
    <row r="157" spans="1:13" x14ac:dyDescent="0.25">
      <c r="A157" s="71" t="s">
        <v>615</v>
      </c>
      <c r="B157" s="145" t="s">
        <v>525</v>
      </c>
      <c r="C157" s="71" t="s">
        <v>10</v>
      </c>
      <c r="D157" s="71" t="s">
        <v>93</v>
      </c>
      <c r="E157" s="71" t="s">
        <v>98</v>
      </c>
      <c r="F157" s="71" t="s">
        <v>528</v>
      </c>
      <c r="G157" s="71" t="s">
        <v>526</v>
      </c>
      <c r="H157" s="69">
        <v>199.9</v>
      </c>
      <c r="I157" s="249">
        <v>191</v>
      </c>
      <c r="J157" s="249">
        <v>201.1</v>
      </c>
      <c r="K157" s="148"/>
      <c r="M157" s="69">
        <v>199.9</v>
      </c>
    </row>
    <row r="158" spans="1:13" ht="37.5" x14ac:dyDescent="0.25">
      <c r="A158" s="139" t="s">
        <v>616</v>
      </c>
      <c r="B158" s="219" t="s">
        <v>99</v>
      </c>
      <c r="C158" s="139" t="s">
        <v>10</v>
      </c>
      <c r="D158" s="139" t="s">
        <v>93</v>
      </c>
      <c r="E158" s="139" t="s">
        <v>249</v>
      </c>
      <c r="F158" s="139"/>
      <c r="G158" s="139"/>
      <c r="H158" s="68">
        <f>H159</f>
        <v>250</v>
      </c>
      <c r="I158" s="68">
        <f t="shared" ref="I158:J160" si="61">I159</f>
        <v>75.3</v>
      </c>
      <c r="J158" s="68">
        <f t="shared" si="61"/>
        <v>95.199999999999989</v>
      </c>
      <c r="K158" s="148"/>
      <c r="M158" s="68">
        <v>250</v>
      </c>
    </row>
    <row r="159" spans="1:13" ht="37.5" x14ac:dyDescent="0.25">
      <c r="A159" s="139" t="s">
        <v>617</v>
      </c>
      <c r="B159" s="219" t="s">
        <v>46</v>
      </c>
      <c r="C159" s="139" t="s">
        <v>10</v>
      </c>
      <c r="D159" s="139" t="s">
        <v>93</v>
      </c>
      <c r="E159" s="139" t="s">
        <v>249</v>
      </c>
      <c r="F159" s="139" t="s">
        <v>47</v>
      </c>
      <c r="G159" s="139"/>
      <c r="H159" s="68">
        <f>H160</f>
        <v>250</v>
      </c>
      <c r="I159" s="68">
        <f t="shared" si="61"/>
        <v>75.3</v>
      </c>
      <c r="J159" s="68">
        <f t="shared" si="61"/>
        <v>95.199999999999989</v>
      </c>
      <c r="K159" s="148"/>
      <c r="M159" s="68">
        <v>250</v>
      </c>
    </row>
    <row r="160" spans="1:13" ht="56.25" x14ac:dyDescent="0.25">
      <c r="A160" s="139" t="s">
        <v>618</v>
      </c>
      <c r="B160" s="219" t="s">
        <v>507</v>
      </c>
      <c r="C160" s="139" t="s">
        <v>10</v>
      </c>
      <c r="D160" s="139" t="s">
        <v>93</v>
      </c>
      <c r="E160" s="139" t="s">
        <v>249</v>
      </c>
      <c r="F160" s="139" t="s">
        <v>508</v>
      </c>
      <c r="G160" s="139"/>
      <c r="H160" s="68">
        <f>H161</f>
        <v>250</v>
      </c>
      <c r="I160" s="68">
        <f t="shared" si="61"/>
        <v>75.3</v>
      </c>
      <c r="J160" s="68">
        <f t="shared" si="61"/>
        <v>95.199999999999989</v>
      </c>
      <c r="K160" s="148"/>
      <c r="M160" s="67">
        <v>250</v>
      </c>
    </row>
    <row r="161" spans="1:13" ht="56.25" x14ac:dyDescent="0.25">
      <c r="A161" s="139" t="s">
        <v>619</v>
      </c>
      <c r="B161" s="219" t="s">
        <v>527</v>
      </c>
      <c r="C161" s="139" t="s">
        <v>10</v>
      </c>
      <c r="D161" s="139" t="s">
        <v>93</v>
      </c>
      <c r="E161" s="139" t="s">
        <v>249</v>
      </c>
      <c r="F161" s="139" t="s">
        <v>528</v>
      </c>
      <c r="G161" s="139"/>
      <c r="H161" s="68">
        <f>H162+H164</f>
        <v>250</v>
      </c>
      <c r="I161" s="68">
        <f t="shared" ref="I161:J161" si="62">I162+I164</f>
        <v>75.3</v>
      </c>
      <c r="J161" s="68">
        <f t="shared" si="62"/>
        <v>95.199999999999989</v>
      </c>
      <c r="K161" s="148"/>
      <c r="M161" s="67">
        <v>250</v>
      </c>
    </row>
    <row r="162" spans="1:13" x14ac:dyDescent="0.25">
      <c r="A162" s="139" t="s">
        <v>620</v>
      </c>
      <c r="B162" s="219" t="s">
        <v>511</v>
      </c>
      <c r="C162" s="139" t="s">
        <v>10</v>
      </c>
      <c r="D162" s="139" t="s">
        <v>93</v>
      </c>
      <c r="E162" s="139" t="s">
        <v>249</v>
      </c>
      <c r="F162" s="139" t="s">
        <v>528</v>
      </c>
      <c r="G162" s="139" t="s">
        <v>512</v>
      </c>
      <c r="H162" s="68">
        <f>H163</f>
        <v>227.5</v>
      </c>
      <c r="I162" s="68">
        <f t="shared" ref="I162:J162" si="63">I163</f>
        <v>46.1</v>
      </c>
      <c r="J162" s="68">
        <f t="shared" si="63"/>
        <v>58.3</v>
      </c>
      <c r="K162" s="287"/>
      <c r="L162" s="306">
        <f>H162-M162</f>
        <v>74.400000000000006</v>
      </c>
      <c r="M162" s="67">
        <v>153.1</v>
      </c>
    </row>
    <row r="163" spans="1:13" x14ac:dyDescent="0.25">
      <c r="A163" s="71" t="s">
        <v>621</v>
      </c>
      <c r="B163" s="145" t="s">
        <v>517</v>
      </c>
      <c r="C163" s="71" t="s">
        <v>10</v>
      </c>
      <c r="D163" s="71" t="s">
        <v>93</v>
      </c>
      <c r="E163" s="71" t="s">
        <v>249</v>
      </c>
      <c r="F163" s="71" t="s">
        <v>528</v>
      </c>
      <c r="G163" s="71" t="s">
        <v>518</v>
      </c>
      <c r="H163" s="69">
        <v>227.5</v>
      </c>
      <c r="I163" s="249">
        <v>46.1</v>
      </c>
      <c r="J163" s="249">
        <v>58.3</v>
      </c>
      <c r="K163" s="287" t="s">
        <v>851</v>
      </c>
      <c r="L163" s="309">
        <f>H163-M163</f>
        <v>74.400000000000006</v>
      </c>
      <c r="M163" s="238">
        <v>153.1</v>
      </c>
    </row>
    <row r="164" spans="1:13" x14ac:dyDescent="0.25">
      <c r="A164" s="139" t="s">
        <v>857</v>
      </c>
      <c r="B164" s="219" t="s">
        <v>520</v>
      </c>
      <c r="C164" s="139" t="s">
        <v>10</v>
      </c>
      <c r="D164" s="139" t="s">
        <v>93</v>
      </c>
      <c r="E164" s="139" t="s">
        <v>249</v>
      </c>
      <c r="F164" s="139" t="s">
        <v>528</v>
      </c>
      <c r="G164" s="139" t="s">
        <v>142</v>
      </c>
      <c r="H164" s="68">
        <f>H165</f>
        <v>22.5</v>
      </c>
      <c r="I164" s="68">
        <f t="shared" ref="I164:J164" si="64">I165</f>
        <v>29.2</v>
      </c>
      <c r="J164" s="68">
        <f t="shared" si="64"/>
        <v>36.9</v>
      </c>
      <c r="K164" s="287"/>
      <c r="L164" s="306">
        <f t="shared" ref="L164:L165" si="65">H164-M164</f>
        <v>-74.400000000000006</v>
      </c>
      <c r="M164" s="67">
        <v>96.9</v>
      </c>
    </row>
    <row r="165" spans="1:13" x14ac:dyDescent="0.25">
      <c r="A165" s="71" t="s">
        <v>858</v>
      </c>
      <c r="B165" s="145" t="s">
        <v>522</v>
      </c>
      <c r="C165" s="71" t="s">
        <v>10</v>
      </c>
      <c r="D165" s="71" t="s">
        <v>93</v>
      </c>
      <c r="E165" s="71" t="s">
        <v>249</v>
      </c>
      <c r="F165" s="71" t="s">
        <v>528</v>
      </c>
      <c r="G165" s="71" t="s">
        <v>523</v>
      </c>
      <c r="H165" s="69">
        <v>22.5</v>
      </c>
      <c r="I165" s="249">
        <v>29.2</v>
      </c>
      <c r="J165" s="249">
        <v>36.9</v>
      </c>
      <c r="K165" s="287" t="s">
        <v>851</v>
      </c>
      <c r="L165" s="309">
        <f t="shared" si="65"/>
        <v>-74.400000000000006</v>
      </c>
      <c r="M165" s="238">
        <v>96.9</v>
      </c>
    </row>
    <row r="166" spans="1:13" ht="75" x14ac:dyDescent="0.25">
      <c r="A166" s="139" t="s">
        <v>859</v>
      </c>
      <c r="B166" s="219" t="s">
        <v>100</v>
      </c>
      <c r="C166" s="139" t="s">
        <v>10</v>
      </c>
      <c r="D166" s="139" t="s">
        <v>93</v>
      </c>
      <c r="E166" s="139" t="s">
        <v>250</v>
      </c>
      <c r="F166" s="139"/>
      <c r="G166" s="139"/>
      <c r="H166" s="68">
        <f>H167</f>
        <v>579.79999999999995</v>
      </c>
      <c r="I166" s="68">
        <f t="shared" ref="I166:J170" si="66">I167</f>
        <v>806.5</v>
      </c>
      <c r="J166" s="68">
        <f t="shared" si="66"/>
        <v>849.3</v>
      </c>
      <c r="K166" s="148"/>
      <c r="M166" s="67">
        <v>579.79999999999995</v>
      </c>
    </row>
    <row r="167" spans="1:13" ht="37.5" x14ac:dyDescent="0.25">
      <c r="A167" s="139" t="s">
        <v>860</v>
      </c>
      <c r="B167" s="219" t="s">
        <v>46</v>
      </c>
      <c r="C167" s="139" t="s">
        <v>10</v>
      </c>
      <c r="D167" s="139" t="s">
        <v>93</v>
      </c>
      <c r="E167" s="139" t="s">
        <v>250</v>
      </c>
      <c r="F167" s="139" t="s">
        <v>47</v>
      </c>
      <c r="G167" s="139"/>
      <c r="H167" s="68">
        <f>H168</f>
        <v>579.79999999999995</v>
      </c>
      <c r="I167" s="68">
        <f t="shared" si="66"/>
        <v>806.5</v>
      </c>
      <c r="J167" s="68">
        <f t="shared" si="66"/>
        <v>849.3</v>
      </c>
      <c r="K167" s="148"/>
      <c r="M167" s="67">
        <v>579.79999999999995</v>
      </c>
    </row>
    <row r="168" spans="1:13" ht="56.25" x14ac:dyDescent="0.25">
      <c r="A168" s="139" t="s">
        <v>861</v>
      </c>
      <c r="B168" s="219" t="s">
        <v>507</v>
      </c>
      <c r="C168" s="139" t="s">
        <v>10</v>
      </c>
      <c r="D168" s="139" t="s">
        <v>93</v>
      </c>
      <c r="E168" s="139" t="s">
        <v>250</v>
      </c>
      <c r="F168" s="139" t="s">
        <v>508</v>
      </c>
      <c r="G168" s="139"/>
      <c r="H168" s="68">
        <f>H169</f>
        <v>579.79999999999995</v>
      </c>
      <c r="I168" s="68">
        <f t="shared" si="66"/>
        <v>806.5</v>
      </c>
      <c r="J168" s="68">
        <f t="shared" si="66"/>
        <v>849.3</v>
      </c>
      <c r="K168" s="148"/>
      <c r="M168" s="67">
        <v>579.79999999999995</v>
      </c>
    </row>
    <row r="169" spans="1:13" ht="56.25" x14ac:dyDescent="0.25">
      <c r="A169" s="139" t="s">
        <v>862</v>
      </c>
      <c r="B169" s="219" t="s">
        <v>527</v>
      </c>
      <c r="C169" s="139" t="s">
        <v>10</v>
      </c>
      <c r="D169" s="139" t="s">
        <v>93</v>
      </c>
      <c r="E169" s="139" t="s">
        <v>250</v>
      </c>
      <c r="F169" s="139" t="s">
        <v>528</v>
      </c>
      <c r="G169" s="139"/>
      <c r="H169" s="68">
        <f>H170</f>
        <v>579.79999999999995</v>
      </c>
      <c r="I169" s="68">
        <f t="shared" si="66"/>
        <v>806.5</v>
      </c>
      <c r="J169" s="68">
        <f t="shared" si="66"/>
        <v>849.3</v>
      </c>
      <c r="K169" s="148"/>
      <c r="M169" s="67">
        <v>579.79999999999995</v>
      </c>
    </row>
    <row r="170" spans="1:13" x14ac:dyDescent="0.25">
      <c r="A170" s="139" t="s">
        <v>863</v>
      </c>
      <c r="B170" s="219" t="s">
        <v>511</v>
      </c>
      <c r="C170" s="139" t="s">
        <v>10</v>
      </c>
      <c r="D170" s="139" t="s">
        <v>93</v>
      </c>
      <c r="E170" s="139" t="s">
        <v>250</v>
      </c>
      <c r="F170" s="139" t="s">
        <v>528</v>
      </c>
      <c r="G170" s="139" t="s">
        <v>512</v>
      </c>
      <c r="H170" s="68">
        <f>H171</f>
        <v>579.79999999999995</v>
      </c>
      <c r="I170" s="68">
        <f t="shared" si="66"/>
        <v>806.5</v>
      </c>
      <c r="J170" s="68">
        <f t="shared" si="66"/>
        <v>849.3</v>
      </c>
      <c r="K170" s="148"/>
      <c r="M170" s="67">
        <v>579.79999999999995</v>
      </c>
    </row>
    <row r="171" spans="1:13" x14ac:dyDescent="0.25">
      <c r="A171" s="71" t="s">
        <v>864</v>
      </c>
      <c r="B171" s="145" t="s">
        <v>517</v>
      </c>
      <c r="C171" s="71" t="s">
        <v>10</v>
      </c>
      <c r="D171" s="71" t="s">
        <v>93</v>
      </c>
      <c r="E171" s="71" t="s">
        <v>250</v>
      </c>
      <c r="F171" s="71" t="s">
        <v>528</v>
      </c>
      <c r="G171" s="71" t="s">
        <v>518</v>
      </c>
      <c r="H171" s="69">
        <v>579.79999999999995</v>
      </c>
      <c r="I171" s="249">
        <v>806.5</v>
      </c>
      <c r="J171" s="249">
        <v>849.3</v>
      </c>
      <c r="K171" s="148"/>
      <c r="M171" s="238">
        <v>579.79999999999995</v>
      </c>
    </row>
    <row r="172" spans="1:13" ht="38.25" customHeight="1" x14ac:dyDescent="0.25">
      <c r="A172" s="139" t="s">
        <v>622</v>
      </c>
      <c r="B172" s="219" t="s">
        <v>101</v>
      </c>
      <c r="C172" s="139" t="s">
        <v>10</v>
      </c>
      <c r="D172" s="139" t="s">
        <v>93</v>
      </c>
      <c r="E172" s="139" t="s">
        <v>251</v>
      </c>
      <c r="F172" s="139"/>
      <c r="G172" s="139"/>
      <c r="H172" s="68">
        <f>H173</f>
        <v>4230.1000000000004</v>
      </c>
      <c r="I172" s="68">
        <f t="shared" ref="I172:J174" si="67">I173</f>
        <v>3934.9</v>
      </c>
      <c r="J172" s="68">
        <f t="shared" si="67"/>
        <v>2736.7</v>
      </c>
      <c r="K172" s="287" t="s">
        <v>851</v>
      </c>
      <c r="M172" s="67">
        <v>4230.1000000000004</v>
      </c>
    </row>
    <row r="173" spans="1:13" ht="37.5" x14ac:dyDescent="0.25">
      <c r="A173" s="139" t="s">
        <v>623</v>
      </c>
      <c r="B173" s="219" t="s">
        <v>46</v>
      </c>
      <c r="C173" s="139" t="s">
        <v>10</v>
      </c>
      <c r="D173" s="139" t="s">
        <v>93</v>
      </c>
      <c r="E173" s="139" t="s">
        <v>251</v>
      </c>
      <c r="F173" s="139" t="s">
        <v>47</v>
      </c>
      <c r="G173" s="139"/>
      <c r="H173" s="68">
        <f>H174</f>
        <v>4230.1000000000004</v>
      </c>
      <c r="I173" s="68">
        <f t="shared" si="67"/>
        <v>3934.9</v>
      </c>
      <c r="J173" s="68">
        <f t="shared" si="67"/>
        <v>2736.7</v>
      </c>
      <c r="K173" s="148"/>
      <c r="M173" s="67">
        <v>4230.1000000000004</v>
      </c>
    </row>
    <row r="174" spans="1:13" ht="56.25" x14ac:dyDescent="0.25">
      <c r="A174" s="139" t="s">
        <v>624</v>
      </c>
      <c r="B174" s="219" t="s">
        <v>507</v>
      </c>
      <c r="C174" s="139" t="s">
        <v>10</v>
      </c>
      <c r="D174" s="139" t="s">
        <v>93</v>
      </c>
      <c r="E174" s="139" t="s">
        <v>251</v>
      </c>
      <c r="F174" s="139" t="s">
        <v>508</v>
      </c>
      <c r="G174" s="139"/>
      <c r="H174" s="68">
        <f>H175</f>
        <v>4230.1000000000004</v>
      </c>
      <c r="I174" s="68">
        <f t="shared" si="67"/>
        <v>3934.9</v>
      </c>
      <c r="J174" s="68">
        <f t="shared" si="67"/>
        <v>2736.7</v>
      </c>
      <c r="K174" s="148"/>
      <c r="M174" s="67">
        <v>4230.1000000000004</v>
      </c>
    </row>
    <row r="175" spans="1:13" ht="56.25" x14ac:dyDescent="0.25">
      <c r="A175" s="139" t="s">
        <v>625</v>
      </c>
      <c r="B175" s="219" t="s">
        <v>527</v>
      </c>
      <c r="C175" s="139" t="s">
        <v>10</v>
      </c>
      <c r="D175" s="139" t="s">
        <v>93</v>
      </c>
      <c r="E175" s="139" t="s">
        <v>251</v>
      </c>
      <c r="F175" s="139" t="s">
        <v>528</v>
      </c>
      <c r="G175" s="139"/>
      <c r="H175" s="68">
        <f>H176+H179</f>
        <v>4230.1000000000004</v>
      </c>
      <c r="I175" s="68">
        <f t="shared" ref="I175:J175" si="68">I176+I179</f>
        <v>3934.9</v>
      </c>
      <c r="J175" s="68">
        <f t="shared" si="68"/>
        <v>2736.7</v>
      </c>
      <c r="K175" s="148"/>
      <c r="M175" s="67">
        <v>4230.1000000000004</v>
      </c>
    </row>
    <row r="176" spans="1:13" x14ac:dyDescent="0.25">
      <c r="A176" s="139" t="s">
        <v>626</v>
      </c>
      <c r="B176" s="219" t="s">
        <v>511</v>
      </c>
      <c r="C176" s="139" t="s">
        <v>10</v>
      </c>
      <c r="D176" s="139" t="s">
        <v>93</v>
      </c>
      <c r="E176" s="139" t="s">
        <v>251</v>
      </c>
      <c r="F176" s="139" t="s">
        <v>528</v>
      </c>
      <c r="G176" s="139" t="s">
        <v>512</v>
      </c>
      <c r="H176" s="68">
        <f>H178+H177</f>
        <v>1539.6</v>
      </c>
      <c r="I176" s="68">
        <f t="shared" ref="I176:J176" si="69">I178+I177</f>
        <v>1248.4000000000001</v>
      </c>
      <c r="J176" s="68">
        <f t="shared" si="69"/>
        <v>850.69999999999993</v>
      </c>
      <c r="K176" s="148"/>
      <c r="M176" s="67">
        <v>1539.6</v>
      </c>
    </row>
    <row r="177" spans="1:13" x14ac:dyDescent="0.25">
      <c r="A177" s="71" t="s">
        <v>627</v>
      </c>
      <c r="B177" s="145" t="s">
        <v>531</v>
      </c>
      <c r="C177" s="71" t="s">
        <v>10</v>
      </c>
      <c r="D177" s="71" t="s">
        <v>93</v>
      </c>
      <c r="E177" s="71" t="s">
        <v>251</v>
      </c>
      <c r="F177" s="71" t="s">
        <v>528</v>
      </c>
      <c r="G177" s="71" t="s">
        <v>532</v>
      </c>
      <c r="H177" s="69">
        <v>5</v>
      </c>
      <c r="I177" s="256">
        <v>6.9</v>
      </c>
      <c r="J177" s="256">
        <v>4.4000000000000004</v>
      </c>
      <c r="K177" s="148"/>
      <c r="M177" s="238">
        <v>5</v>
      </c>
    </row>
    <row r="178" spans="1:13" x14ac:dyDescent="0.25">
      <c r="A178" s="71" t="s">
        <v>628</v>
      </c>
      <c r="B178" s="145" t="s">
        <v>517</v>
      </c>
      <c r="C178" s="71" t="s">
        <v>10</v>
      </c>
      <c r="D178" s="71" t="s">
        <v>93</v>
      </c>
      <c r="E178" s="71" t="s">
        <v>251</v>
      </c>
      <c r="F178" s="71" t="s">
        <v>528</v>
      </c>
      <c r="G178" s="71" t="s">
        <v>518</v>
      </c>
      <c r="H178" s="69">
        <f>1447.6+K178</f>
        <v>1534.6</v>
      </c>
      <c r="I178" s="91">
        <v>1241.5</v>
      </c>
      <c r="J178" s="91">
        <v>846.3</v>
      </c>
      <c r="K178" s="232">
        <v>87</v>
      </c>
      <c r="M178" s="238">
        <v>1534.6</v>
      </c>
    </row>
    <row r="179" spans="1:13" x14ac:dyDescent="0.25">
      <c r="A179" s="139" t="s">
        <v>629</v>
      </c>
      <c r="B179" s="219" t="s">
        <v>520</v>
      </c>
      <c r="C179" s="139" t="s">
        <v>10</v>
      </c>
      <c r="D179" s="139" t="s">
        <v>93</v>
      </c>
      <c r="E179" s="139" t="s">
        <v>251</v>
      </c>
      <c r="F179" s="139" t="s">
        <v>528</v>
      </c>
      <c r="G179" s="139" t="s">
        <v>142</v>
      </c>
      <c r="H179" s="68">
        <f>H180</f>
        <v>2690.5</v>
      </c>
      <c r="I179" s="68">
        <f t="shared" ref="I179:J179" si="70">I180</f>
        <v>2686.5</v>
      </c>
      <c r="J179" s="68">
        <f t="shared" si="70"/>
        <v>1886</v>
      </c>
      <c r="K179" s="148"/>
      <c r="M179" s="67">
        <v>2690.5</v>
      </c>
    </row>
    <row r="180" spans="1:13" x14ac:dyDescent="0.25">
      <c r="A180" s="71" t="s">
        <v>630</v>
      </c>
      <c r="B180" s="145" t="s">
        <v>522</v>
      </c>
      <c r="C180" s="71" t="s">
        <v>10</v>
      </c>
      <c r="D180" s="71" t="s">
        <v>93</v>
      </c>
      <c r="E180" s="71" t="s">
        <v>251</v>
      </c>
      <c r="F180" s="71" t="s">
        <v>528</v>
      </c>
      <c r="G180" s="71" t="s">
        <v>523</v>
      </c>
      <c r="H180" s="69">
        <v>2690.5</v>
      </c>
      <c r="I180" s="91">
        <v>2686.5</v>
      </c>
      <c r="J180" s="91">
        <v>1886</v>
      </c>
      <c r="K180" s="148"/>
      <c r="M180" s="238">
        <v>2690.5</v>
      </c>
    </row>
    <row r="181" spans="1:13" ht="55.5" customHeight="1" x14ac:dyDescent="0.25">
      <c r="A181" s="139" t="s">
        <v>631</v>
      </c>
      <c r="B181" s="219" t="s">
        <v>102</v>
      </c>
      <c r="C181" s="139" t="s">
        <v>10</v>
      </c>
      <c r="D181" s="139" t="s">
        <v>93</v>
      </c>
      <c r="E181" s="139" t="s">
        <v>103</v>
      </c>
      <c r="F181" s="139"/>
      <c r="G181" s="139"/>
      <c r="H181" s="68">
        <f>H182</f>
        <v>9835.2000000000007</v>
      </c>
      <c r="I181" s="68">
        <f t="shared" ref="I181:J185" si="71">I182</f>
        <v>9005.7999999999993</v>
      </c>
      <c r="J181" s="68">
        <f t="shared" si="71"/>
        <v>13755.6</v>
      </c>
      <c r="K181" s="287" t="s">
        <v>851</v>
      </c>
      <c r="M181" s="67">
        <v>9835.2000000000007</v>
      </c>
    </row>
    <row r="182" spans="1:13" ht="37.5" x14ac:dyDescent="0.25">
      <c r="A182" s="139" t="s">
        <v>632</v>
      </c>
      <c r="B182" s="219" t="s">
        <v>46</v>
      </c>
      <c r="C182" s="139" t="s">
        <v>10</v>
      </c>
      <c r="D182" s="139" t="s">
        <v>93</v>
      </c>
      <c r="E182" s="139" t="s">
        <v>103</v>
      </c>
      <c r="F182" s="139" t="s">
        <v>47</v>
      </c>
      <c r="G182" s="139"/>
      <c r="H182" s="68">
        <f>H183</f>
        <v>9835.2000000000007</v>
      </c>
      <c r="I182" s="68">
        <f t="shared" si="71"/>
        <v>9005.7999999999993</v>
      </c>
      <c r="J182" s="68">
        <f t="shared" si="71"/>
        <v>13755.6</v>
      </c>
      <c r="K182" s="148"/>
      <c r="M182" s="67">
        <v>9835.2000000000007</v>
      </c>
    </row>
    <row r="183" spans="1:13" ht="56.25" x14ac:dyDescent="0.25">
      <c r="A183" s="139" t="s">
        <v>633</v>
      </c>
      <c r="B183" s="219" t="s">
        <v>507</v>
      </c>
      <c r="C183" s="139" t="s">
        <v>10</v>
      </c>
      <c r="D183" s="139" t="s">
        <v>93</v>
      </c>
      <c r="E183" s="139" t="s">
        <v>103</v>
      </c>
      <c r="F183" s="139" t="s">
        <v>508</v>
      </c>
      <c r="G183" s="139"/>
      <c r="H183" s="68">
        <f>H184</f>
        <v>9835.2000000000007</v>
      </c>
      <c r="I183" s="68">
        <f t="shared" si="71"/>
        <v>9005.7999999999993</v>
      </c>
      <c r="J183" s="68">
        <f t="shared" si="71"/>
        <v>13755.6</v>
      </c>
      <c r="K183" s="148"/>
      <c r="M183" s="67">
        <v>9835.2000000000007</v>
      </c>
    </row>
    <row r="184" spans="1:13" ht="56.25" x14ac:dyDescent="0.25">
      <c r="A184" s="139" t="s">
        <v>634</v>
      </c>
      <c r="B184" s="219" t="s">
        <v>527</v>
      </c>
      <c r="C184" s="139" t="s">
        <v>10</v>
      </c>
      <c r="D184" s="139" t="s">
        <v>93</v>
      </c>
      <c r="E184" s="139" t="s">
        <v>103</v>
      </c>
      <c r="F184" s="139" t="s">
        <v>528</v>
      </c>
      <c r="G184" s="139"/>
      <c r="H184" s="68">
        <f>H185</f>
        <v>9835.2000000000007</v>
      </c>
      <c r="I184" s="68">
        <f t="shared" si="71"/>
        <v>9005.7999999999993</v>
      </c>
      <c r="J184" s="68">
        <f t="shared" si="71"/>
        <v>13755.6</v>
      </c>
      <c r="K184" s="148"/>
      <c r="M184" s="67">
        <v>9835.2000000000007</v>
      </c>
    </row>
    <row r="185" spans="1:13" x14ac:dyDescent="0.25">
      <c r="A185" s="139" t="s">
        <v>635</v>
      </c>
      <c r="B185" s="219" t="s">
        <v>511</v>
      </c>
      <c r="C185" s="139" t="s">
        <v>10</v>
      </c>
      <c r="D185" s="139" t="s">
        <v>93</v>
      </c>
      <c r="E185" s="139" t="s">
        <v>103</v>
      </c>
      <c r="F185" s="139" t="s">
        <v>528</v>
      </c>
      <c r="G185" s="139" t="s">
        <v>512</v>
      </c>
      <c r="H185" s="68">
        <f>H186</f>
        <v>9835.2000000000007</v>
      </c>
      <c r="I185" s="68">
        <f t="shared" si="71"/>
        <v>9005.7999999999993</v>
      </c>
      <c r="J185" s="68">
        <f t="shared" si="71"/>
        <v>13755.6</v>
      </c>
      <c r="K185" s="148"/>
      <c r="M185" s="67">
        <v>9835.2000000000007</v>
      </c>
    </row>
    <row r="186" spans="1:13" x14ac:dyDescent="0.25">
      <c r="A186" s="71" t="s">
        <v>636</v>
      </c>
      <c r="B186" s="145" t="s">
        <v>517</v>
      </c>
      <c r="C186" s="71" t="s">
        <v>10</v>
      </c>
      <c r="D186" s="71" t="s">
        <v>93</v>
      </c>
      <c r="E186" s="71" t="s">
        <v>103</v>
      </c>
      <c r="F186" s="71" t="s">
        <v>528</v>
      </c>
      <c r="G186" s="71" t="s">
        <v>518</v>
      </c>
      <c r="H186" s="69">
        <f>9632.2+K186</f>
        <v>9835.2000000000007</v>
      </c>
      <c r="I186" s="250">
        <v>9005.7999999999993</v>
      </c>
      <c r="J186" s="250">
        <v>13755.6</v>
      </c>
      <c r="K186" s="232">
        <v>203</v>
      </c>
      <c r="M186" s="238">
        <v>9835.2000000000007</v>
      </c>
    </row>
    <row r="187" spans="1:13" x14ac:dyDescent="0.25">
      <c r="A187" s="139" t="s">
        <v>637</v>
      </c>
      <c r="B187" s="219" t="s">
        <v>455</v>
      </c>
      <c r="C187" s="139" t="s">
        <v>10</v>
      </c>
      <c r="D187" s="139" t="s">
        <v>93</v>
      </c>
      <c r="E187" s="139" t="s">
        <v>459</v>
      </c>
      <c r="F187" s="139"/>
      <c r="G187" s="71"/>
      <c r="H187" s="68">
        <f>H188</f>
        <v>0</v>
      </c>
      <c r="I187" s="68">
        <f t="shared" ref="I187:J187" si="72">I188</f>
        <v>1673.3</v>
      </c>
      <c r="J187" s="68">
        <f t="shared" si="72"/>
        <v>3884.7</v>
      </c>
      <c r="K187" s="148"/>
      <c r="M187" s="67">
        <v>0</v>
      </c>
    </row>
    <row r="188" spans="1:13" x14ac:dyDescent="0.25">
      <c r="A188" s="71" t="s">
        <v>638</v>
      </c>
      <c r="B188" s="145" t="s">
        <v>49</v>
      </c>
      <c r="C188" s="71" t="s">
        <v>10</v>
      </c>
      <c r="D188" s="71" t="s">
        <v>93</v>
      </c>
      <c r="E188" s="71" t="s">
        <v>459</v>
      </c>
      <c r="F188" s="71" t="s">
        <v>50</v>
      </c>
      <c r="G188" s="71" t="s">
        <v>320</v>
      </c>
      <c r="H188" s="69">
        <v>0</v>
      </c>
      <c r="I188" s="250">
        <v>1673.3</v>
      </c>
      <c r="J188" s="250">
        <v>3884.7</v>
      </c>
      <c r="K188" s="148"/>
      <c r="M188" s="238">
        <v>0</v>
      </c>
    </row>
    <row r="189" spans="1:13" ht="20.25" x14ac:dyDescent="0.25">
      <c r="A189" s="372" t="s">
        <v>26</v>
      </c>
      <c r="B189" s="361" t="s">
        <v>110</v>
      </c>
      <c r="C189" s="372" t="s">
        <v>10</v>
      </c>
      <c r="D189" s="372" t="s">
        <v>111</v>
      </c>
      <c r="E189" s="372"/>
      <c r="F189" s="372"/>
      <c r="G189" s="372"/>
      <c r="H189" s="246">
        <f t="shared" ref="H189:J196" si="73">H190</f>
        <v>210</v>
      </c>
      <c r="I189" s="246">
        <f t="shared" si="73"/>
        <v>221.4</v>
      </c>
      <c r="J189" s="246">
        <f t="shared" si="73"/>
        <v>233.2</v>
      </c>
      <c r="K189" s="148"/>
      <c r="M189" s="269">
        <v>210</v>
      </c>
    </row>
    <row r="190" spans="1:13" ht="37.5" x14ac:dyDescent="0.25">
      <c r="A190" s="247" t="s">
        <v>205</v>
      </c>
      <c r="B190" s="222" t="s">
        <v>112</v>
      </c>
      <c r="C190" s="247" t="s">
        <v>10</v>
      </c>
      <c r="D190" s="247" t="s">
        <v>113</v>
      </c>
      <c r="E190" s="247"/>
      <c r="F190" s="247"/>
      <c r="G190" s="247"/>
      <c r="H190" s="248">
        <f t="shared" si="73"/>
        <v>210</v>
      </c>
      <c r="I190" s="248">
        <f t="shared" si="73"/>
        <v>221.4</v>
      </c>
      <c r="J190" s="248">
        <f t="shared" si="73"/>
        <v>233.2</v>
      </c>
      <c r="K190" s="148"/>
      <c r="M190" s="271">
        <v>210</v>
      </c>
    </row>
    <row r="191" spans="1:13" x14ac:dyDescent="0.25">
      <c r="A191" s="139" t="s">
        <v>311</v>
      </c>
      <c r="B191" s="219" t="s">
        <v>114</v>
      </c>
      <c r="C191" s="139" t="s">
        <v>10</v>
      </c>
      <c r="D191" s="139" t="s">
        <v>113</v>
      </c>
      <c r="E191" s="139" t="s">
        <v>115</v>
      </c>
      <c r="F191" s="139"/>
      <c r="G191" s="139"/>
      <c r="H191" s="68">
        <f t="shared" si="73"/>
        <v>210</v>
      </c>
      <c r="I191" s="68">
        <f t="shared" si="73"/>
        <v>221.4</v>
      </c>
      <c r="J191" s="68">
        <f t="shared" si="73"/>
        <v>233.2</v>
      </c>
      <c r="K191" s="148"/>
      <c r="M191" s="67">
        <v>210</v>
      </c>
    </row>
    <row r="192" spans="1:13" ht="114.75" customHeight="1" x14ac:dyDescent="0.25">
      <c r="A192" s="139" t="s">
        <v>290</v>
      </c>
      <c r="B192" s="219" t="s">
        <v>116</v>
      </c>
      <c r="C192" s="139" t="s">
        <v>10</v>
      </c>
      <c r="D192" s="139" t="s">
        <v>113</v>
      </c>
      <c r="E192" s="139" t="s">
        <v>115</v>
      </c>
      <c r="F192" s="139"/>
      <c r="G192" s="139"/>
      <c r="H192" s="68">
        <f t="shared" si="73"/>
        <v>210</v>
      </c>
      <c r="I192" s="68">
        <f t="shared" si="73"/>
        <v>221.4</v>
      </c>
      <c r="J192" s="68">
        <f t="shared" si="73"/>
        <v>233.2</v>
      </c>
      <c r="K192" s="148"/>
      <c r="M192" s="67">
        <v>210</v>
      </c>
    </row>
    <row r="193" spans="1:13" ht="37.5" x14ac:dyDescent="0.25">
      <c r="A193" s="139" t="s">
        <v>639</v>
      </c>
      <c r="B193" s="219" t="s">
        <v>46</v>
      </c>
      <c r="C193" s="139" t="s">
        <v>10</v>
      </c>
      <c r="D193" s="139" t="s">
        <v>113</v>
      </c>
      <c r="E193" s="139" t="s">
        <v>115</v>
      </c>
      <c r="F193" s="139" t="s">
        <v>47</v>
      </c>
      <c r="G193" s="139"/>
      <c r="H193" s="68">
        <f t="shared" si="73"/>
        <v>210</v>
      </c>
      <c r="I193" s="68">
        <f t="shared" si="73"/>
        <v>221.4</v>
      </c>
      <c r="J193" s="68">
        <f t="shared" si="73"/>
        <v>233.2</v>
      </c>
      <c r="K193" s="148"/>
      <c r="M193" s="67">
        <v>210</v>
      </c>
    </row>
    <row r="194" spans="1:13" ht="56.25" x14ac:dyDescent="0.25">
      <c r="A194" s="139" t="s">
        <v>640</v>
      </c>
      <c r="B194" s="360" t="s">
        <v>507</v>
      </c>
      <c r="C194" s="139" t="s">
        <v>10</v>
      </c>
      <c r="D194" s="139" t="s">
        <v>113</v>
      </c>
      <c r="E194" s="139" t="s">
        <v>115</v>
      </c>
      <c r="F194" s="139" t="s">
        <v>508</v>
      </c>
      <c r="G194" s="139"/>
      <c r="H194" s="68">
        <f t="shared" si="73"/>
        <v>210</v>
      </c>
      <c r="I194" s="68">
        <f t="shared" si="73"/>
        <v>221.4</v>
      </c>
      <c r="J194" s="68">
        <f t="shared" si="73"/>
        <v>233.2</v>
      </c>
      <c r="K194" s="148"/>
      <c r="M194" s="67">
        <v>210</v>
      </c>
    </row>
    <row r="195" spans="1:13" ht="56.25" x14ac:dyDescent="0.25">
      <c r="A195" s="139" t="s">
        <v>641</v>
      </c>
      <c r="B195" s="219" t="s">
        <v>527</v>
      </c>
      <c r="C195" s="139" t="s">
        <v>10</v>
      </c>
      <c r="D195" s="139" t="s">
        <v>113</v>
      </c>
      <c r="E195" s="139" t="s">
        <v>115</v>
      </c>
      <c r="F195" s="139" t="s">
        <v>528</v>
      </c>
      <c r="G195" s="139"/>
      <c r="H195" s="68">
        <f t="shared" si="73"/>
        <v>210</v>
      </c>
      <c r="I195" s="68">
        <f t="shared" si="73"/>
        <v>221.4</v>
      </c>
      <c r="J195" s="68">
        <f t="shared" si="73"/>
        <v>233.2</v>
      </c>
      <c r="K195" s="148"/>
      <c r="M195" s="67">
        <v>210</v>
      </c>
    </row>
    <row r="196" spans="1:13" x14ac:dyDescent="0.25">
      <c r="A196" s="139" t="s">
        <v>642</v>
      </c>
      <c r="B196" s="219" t="s">
        <v>511</v>
      </c>
      <c r="C196" s="139" t="s">
        <v>10</v>
      </c>
      <c r="D196" s="139" t="s">
        <v>113</v>
      </c>
      <c r="E196" s="139" t="s">
        <v>115</v>
      </c>
      <c r="F196" s="139" t="s">
        <v>528</v>
      </c>
      <c r="G196" s="139" t="s">
        <v>512</v>
      </c>
      <c r="H196" s="68">
        <f t="shared" si="73"/>
        <v>210</v>
      </c>
      <c r="I196" s="68">
        <f t="shared" si="73"/>
        <v>221.4</v>
      </c>
      <c r="J196" s="68">
        <f t="shared" si="73"/>
        <v>233.2</v>
      </c>
      <c r="K196" s="148"/>
      <c r="M196" s="67">
        <v>210</v>
      </c>
    </row>
    <row r="197" spans="1:13" x14ac:dyDescent="0.25">
      <c r="A197" s="71" t="s">
        <v>643</v>
      </c>
      <c r="B197" s="145" t="s">
        <v>517</v>
      </c>
      <c r="C197" s="139" t="s">
        <v>10</v>
      </c>
      <c r="D197" s="139" t="s">
        <v>113</v>
      </c>
      <c r="E197" s="139" t="s">
        <v>115</v>
      </c>
      <c r="F197" s="71" t="s">
        <v>528</v>
      </c>
      <c r="G197" s="71" t="s">
        <v>518</v>
      </c>
      <c r="H197" s="69">
        <v>210</v>
      </c>
      <c r="I197" s="249">
        <v>221.4</v>
      </c>
      <c r="J197" s="249">
        <v>233.2</v>
      </c>
      <c r="K197" s="148"/>
      <c r="M197" s="238">
        <v>210</v>
      </c>
    </row>
    <row r="198" spans="1:13" ht="20.25" x14ac:dyDescent="0.25">
      <c r="A198" s="372" t="s">
        <v>27</v>
      </c>
      <c r="B198" s="361" t="s">
        <v>137</v>
      </c>
      <c r="C198" s="372" t="s">
        <v>10</v>
      </c>
      <c r="D198" s="372" t="s">
        <v>138</v>
      </c>
      <c r="E198" s="372"/>
      <c r="F198" s="372"/>
      <c r="G198" s="372"/>
      <c r="H198" s="246">
        <f>H199+H206</f>
        <v>7227</v>
      </c>
      <c r="I198" s="246">
        <f t="shared" ref="I198:J198" si="74">I199+I206</f>
        <v>7467.5999999999995</v>
      </c>
      <c r="J198" s="246">
        <f t="shared" si="74"/>
        <v>7914.9</v>
      </c>
      <c r="K198" s="148"/>
      <c r="M198" s="269">
        <v>7227</v>
      </c>
    </row>
    <row r="199" spans="1:13" ht="20.25" x14ac:dyDescent="0.25">
      <c r="A199" s="235" t="s">
        <v>209</v>
      </c>
      <c r="B199" s="222" t="s">
        <v>443</v>
      </c>
      <c r="C199" s="247" t="s">
        <v>10</v>
      </c>
      <c r="D199" s="247" t="s">
        <v>442</v>
      </c>
      <c r="E199" s="247"/>
      <c r="F199" s="247"/>
      <c r="G199" s="247"/>
      <c r="H199" s="248">
        <f t="shared" ref="H199:J204" si="75">H200</f>
        <v>657.5</v>
      </c>
      <c r="I199" s="248">
        <f t="shared" si="75"/>
        <v>543.70000000000005</v>
      </c>
      <c r="J199" s="248">
        <f t="shared" si="75"/>
        <v>543.70000000000005</v>
      </c>
      <c r="K199" s="148"/>
      <c r="M199" s="271">
        <v>657.5</v>
      </c>
    </row>
    <row r="200" spans="1:13" ht="56.25" x14ac:dyDescent="0.25">
      <c r="A200" s="139" t="s">
        <v>210</v>
      </c>
      <c r="B200" s="219" t="s">
        <v>139</v>
      </c>
      <c r="C200" s="139" t="s">
        <v>10</v>
      </c>
      <c r="D200" s="139" t="s">
        <v>442</v>
      </c>
      <c r="E200" s="139" t="s">
        <v>140</v>
      </c>
      <c r="F200" s="139"/>
      <c r="G200" s="139"/>
      <c r="H200" s="68">
        <f t="shared" si="75"/>
        <v>657.5</v>
      </c>
      <c r="I200" s="68">
        <f t="shared" si="75"/>
        <v>543.70000000000005</v>
      </c>
      <c r="J200" s="68">
        <f t="shared" si="75"/>
        <v>543.70000000000005</v>
      </c>
      <c r="K200" s="148"/>
      <c r="M200" s="67">
        <v>657.5</v>
      </c>
    </row>
    <row r="201" spans="1:13" ht="37.5" x14ac:dyDescent="0.25">
      <c r="A201" s="139" t="s">
        <v>297</v>
      </c>
      <c r="B201" s="219" t="s">
        <v>141</v>
      </c>
      <c r="C201" s="139" t="s">
        <v>10</v>
      </c>
      <c r="D201" s="139" t="s">
        <v>442</v>
      </c>
      <c r="E201" s="139" t="s">
        <v>140</v>
      </c>
      <c r="F201" s="139" t="s">
        <v>142</v>
      </c>
      <c r="G201" s="139"/>
      <c r="H201" s="68">
        <f t="shared" si="75"/>
        <v>657.5</v>
      </c>
      <c r="I201" s="68">
        <f t="shared" si="75"/>
        <v>543.70000000000005</v>
      </c>
      <c r="J201" s="68">
        <f t="shared" si="75"/>
        <v>543.70000000000005</v>
      </c>
      <c r="K201" s="148"/>
      <c r="M201" s="67">
        <v>657.5</v>
      </c>
    </row>
    <row r="202" spans="1:13" ht="37.5" x14ac:dyDescent="0.25">
      <c r="A202" s="139" t="s">
        <v>644</v>
      </c>
      <c r="B202" s="358" t="s">
        <v>645</v>
      </c>
      <c r="C202" s="139" t="s">
        <v>10</v>
      </c>
      <c r="D202" s="139" t="s">
        <v>442</v>
      </c>
      <c r="E202" s="139" t="s">
        <v>140</v>
      </c>
      <c r="F202" s="139" t="s">
        <v>523</v>
      </c>
      <c r="G202" s="139"/>
      <c r="H202" s="68">
        <f t="shared" si="75"/>
        <v>657.5</v>
      </c>
      <c r="I202" s="68">
        <f t="shared" si="75"/>
        <v>543.70000000000005</v>
      </c>
      <c r="J202" s="68">
        <f t="shared" si="75"/>
        <v>543.70000000000005</v>
      </c>
      <c r="K202" s="148"/>
      <c r="M202" s="67">
        <v>657.5</v>
      </c>
    </row>
    <row r="203" spans="1:13" x14ac:dyDescent="0.25">
      <c r="A203" s="139" t="s">
        <v>646</v>
      </c>
      <c r="B203" s="358" t="s">
        <v>647</v>
      </c>
      <c r="C203" s="139" t="s">
        <v>10</v>
      </c>
      <c r="D203" s="139" t="s">
        <v>442</v>
      </c>
      <c r="E203" s="139" t="s">
        <v>140</v>
      </c>
      <c r="F203" s="139" t="s">
        <v>648</v>
      </c>
      <c r="G203" s="139"/>
      <c r="H203" s="68">
        <f t="shared" si="75"/>
        <v>657.5</v>
      </c>
      <c r="I203" s="68">
        <f t="shared" si="75"/>
        <v>543.70000000000005</v>
      </c>
      <c r="J203" s="68">
        <f t="shared" si="75"/>
        <v>543.70000000000005</v>
      </c>
      <c r="K203" s="148"/>
      <c r="M203" s="67">
        <v>657.5</v>
      </c>
    </row>
    <row r="204" spans="1:13" x14ac:dyDescent="0.25">
      <c r="A204" s="139" t="s">
        <v>649</v>
      </c>
      <c r="B204" s="358" t="s">
        <v>650</v>
      </c>
      <c r="C204" s="139" t="s">
        <v>10</v>
      </c>
      <c r="D204" s="139" t="s">
        <v>442</v>
      </c>
      <c r="E204" s="139" t="s">
        <v>140</v>
      </c>
      <c r="F204" s="139" t="s">
        <v>648</v>
      </c>
      <c r="G204" s="139" t="s">
        <v>651</v>
      </c>
      <c r="H204" s="68">
        <f t="shared" si="75"/>
        <v>657.5</v>
      </c>
      <c r="I204" s="68">
        <f t="shared" si="75"/>
        <v>543.70000000000005</v>
      </c>
      <c r="J204" s="68">
        <f t="shared" si="75"/>
        <v>543.70000000000005</v>
      </c>
      <c r="K204" s="148"/>
      <c r="M204" s="67">
        <v>657.5</v>
      </c>
    </row>
    <row r="205" spans="1:13" ht="37.5" x14ac:dyDescent="0.25">
      <c r="A205" s="71" t="s">
        <v>652</v>
      </c>
      <c r="B205" s="375" t="s">
        <v>653</v>
      </c>
      <c r="C205" s="71" t="s">
        <v>10</v>
      </c>
      <c r="D205" s="71" t="s">
        <v>442</v>
      </c>
      <c r="E205" s="71" t="s">
        <v>140</v>
      </c>
      <c r="F205" s="71" t="s">
        <v>648</v>
      </c>
      <c r="G205" s="71" t="s">
        <v>654</v>
      </c>
      <c r="H205" s="69">
        <v>657.5</v>
      </c>
      <c r="I205" s="239">
        <v>543.70000000000005</v>
      </c>
      <c r="J205" s="239">
        <v>543.70000000000005</v>
      </c>
      <c r="K205" s="148"/>
      <c r="M205" s="238">
        <v>657.5</v>
      </c>
    </row>
    <row r="206" spans="1:13" x14ac:dyDescent="0.25">
      <c r="A206" s="247" t="s">
        <v>655</v>
      </c>
      <c r="B206" s="222" t="s">
        <v>233</v>
      </c>
      <c r="C206" s="247" t="s">
        <v>10</v>
      </c>
      <c r="D206" s="247" t="s">
        <v>144</v>
      </c>
      <c r="E206" s="247"/>
      <c r="F206" s="247"/>
      <c r="G206" s="247"/>
      <c r="H206" s="248">
        <f>H207+H213</f>
        <v>6569.5</v>
      </c>
      <c r="I206" s="248">
        <f t="shared" ref="I206:J206" si="76">I207+I213</f>
        <v>6923.9</v>
      </c>
      <c r="J206" s="248">
        <f t="shared" si="76"/>
        <v>7371.2</v>
      </c>
      <c r="K206" s="148"/>
      <c r="M206" s="271">
        <v>6569.5</v>
      </c>
    </row>
    <row r="207" spans="1:13" ht="93.75" x14ac:dyDescent="0.25">
      <c r="A207" s="139" t="s">
        <v>656</v>
      </c>
      <c r="B207" s="362" t="s">
        <v>145</v>
      </c>
      <c r="C207" s="139" t="s">
        <v>10</v>
      </c>
      <c r="D207" s="139" t="s">
        <v>144</v>
      </c>
      <c r="E207" s="139" t="s">
        <v>146</v>
      </c>
      <c r="F207" s="139"/>
      <c r="G207" s="139"/>
      <c r="H207" s="68">
        <f>H208</f>
        <v>4276.1000000000004</v>
      </c>
      <c r="I207" s="68">
        <f t="shared" ref="I207:J211" si="77">I208</f>
        <v>4506.8</v>
      </c>
      <c r="J207" s="68">
        <f t="shared" si="77"/>
        <v>4745.8999999999996</v>
      </c>
      <c r="K207" s="148"/>
      <c r="M207" s="68">
        <v>4276.1000000000004</v>
      </c>
    </row>
    <row r="208" spans="1:13" ht="37.5" x14ac:dyDescent="0.25">
      <c r="A208" s="139" t="s">
        <v>657</v>
      </c>
      <c r="B208" s="357" t="s">
        <v>141</v>
      </c>
      <c r="C208" s="139" t="s">
        <v>10</v>
      </c>
      <c r="D208" s="139" t="s">
        <v>144</v>
      </c>
      <c r="E208" s="139" t="s">
        <v>146</v>
      </c>
      <c r="F208" s="139" t="s">
        <v>142</v>
      </c>
      <c r="G208" s="139"/>
      <c r="H208" s="68">
        <f>H209</f>
        <v>4276.1000000000004</v>
      </c>
      <c r="I208" s="68">
        <f t="shared" si="77"/>
        <v>4506.8</v>
      </c>
      <c r="J208" s="68">
        <f t="shared" si="77"/>
        <v>4745.8999999999996</v>
      </c>
      <c r="K208" s="148"/>
      <c r="M208" s="67">
        <v>4276.1000000000004</v>
      </c>
    </row>
    <row r="209" spans="1:13" ht="37.5" x14ac:dyDescent="0.25">
      <c r="A209" s="139" t="s">
        <v>658</v>
      </c>
      <c r="B209" s="360" t="s">
        <v>645</v>
      </c>
      <c r="C209" s="139" t="s">
        <v>10</v>
      </c>
      <c r="D209" s="139" t="s">
        <v>144</v>
      </c>
      <c r="E209" s="139" t="s">
        <v>146</v>
      </c>
      <c r="F209" s="139" t="s">
        <v>523</v>
      </c>
      <c r="G209" s="139"/>
      <c r="H209" s="68">
        <f>H210</f>
        <v>4276.1000000000004</v>
      </c>
      <c r="I209" s="68">
        <f t="shared" si="77"/>
        <v>4506.8</v>
      </c>
      <c r="J209" s="68">
        <f t="shared" si="77"/>
        <v>4745.8999999999996</v>
      </c>
      <c r="K209" s="148"/>
      <c r="M209" s="67">
        <v>4276.1000000000004</v>
      </c>
    </row>
    <row r="210" spans="1:13" ht="56.25" x14ac:dyDescent="0.25">
      <c r="A210" s="139" t="s">
        <v>659</v>
      </c>
      <c r="B210" s="219" t="s">
        <v>660</v>
      </c>
      <c r="C210" s="139" t="s">
        <v>10</v>
      </c>
      <c r="D210" s="139" t="s">
        <v>144</v>
      </c>
      <c r="E210" s="139" t="s">
        <v>146</v>
      </c>
      <c r="F210" s="139" t="s">
        <v>648</v>
      </c>
      <c r="G210" s="139"/>
      <c r="H210" s="68">
        <f>H211</f>
        <v>4276.1000000000004</v>
      </c>
      <c r="I210" s="68">
        <f t="shared" si="77"/>
        <v>4506.8</v>
      </c>
      <c r="J210" s="68">
        <f t="shared" si="77"/>
        <v>4745.8999999999996</v>
      </c>
      <c r="K210" s="148"/>
      <c r="M210" s="68">
        <v>4276.1000000000004</v>
      </c>
    </row>
    <row r="211" spans="1:13" ht="37.5" x14ac:dyDescent="0.25">
      <c r="A211" s="139" t="s">
        <v>661</v>
      </c>
      <c r="B211" s="376" t="s">
        <v>650</v>
      </c>
      <c r="C211" s="139" t="s">
        <v>10</v>
      </c>
      <c r="D211" s="139" t="s">
        <v>144</v>
      </c>
      <c r="E211" s="139" t="s">
        <v>146</v>
      </c>
      <c r="F211" s="139" t="s">
        <v>648</v>
      </c>
      <c r="G211" s="139" t="s">
        <v>651</v>
      </c>
      <c r="H211" s="68">
        <f>H212</f>
        <v>4276.1000000000004</v>
      </c>
      <c r="I211" s="68">
        <f t="shared" si="77"/>
        <v>4506.8</v>
      </c>
      <c r="J211" s="68">
        <f t="shared" si="77"/>
        <v>4745.8999999999996</v>
      </c>
      <c r="K211" s="148"/>
      <c r="M211" s="68">
        <v>4276.1000000000004</v>
      </c>
    </row>
    <row r="212" spans="1:13" x14ac:dyDescent="0.25">
      <c r="A212" s="71" t="s">
        <v>662</v>
      </c>
      <c r="B212" s="145" t="s">
        <v>663</v>
      </c>
      <c r="C212" s="71" t="s">
        <v>10</v>
      </c>
      <c r="D212" s="71" t="s">
        <v>144</v>
      </c>
      <c r="E212" s="71" t="s">
        <v>146</v>
      </c>
      <c r="F212" s="71" t="s">
        <v>648</v>
      </c>
      <c r="G212" s="71">
        <v>262</v>
      </c>
      <c r="H212" s="69">
        <v>4276.1000000000004</v>
      </c>
      <c r="I212" s="250">
        <v>4506.8</v>
      </c>
      <c r="J212" s="250">
        <v>4745.8999999999996</v>
      </c>
      <c r="K212" s="148"/>
      <c r="M212" s="69">
        <v>4276.1000000000004</v>
      </c>
    </row>
    <row r="213" spans="1:13" ht="75" x14ac:dyDescent="0.25">
      <c r="A213" s="139" t="s">
        <v>664</v>
      </c>
      <c r="B213" s="219" t="s">
        <v>147</v>
      </c>
      <c r="C213" s="139" t="s">
        <v>10</v>
      </c>
      <c r="D213" s="139" t="s">
        <v>144</v>
      </c>
      <c r="E213" s="139" t="s">
        <v>148</v>
      </c>
      <c r="F213" s="139"/>
      <c r="G213" s="139"/>
      <c r="H213" s="68">
        <f>H214</f>
        <v>2293.4</v>
      </c>
      <c r="I213" s="68">
        <f t="shared" ref="I213:J216" si="78">I214</f>
        <v>2417.1</v>
      </c>
      <c r="J213" s="68">
        <f t="shared" si="78"/>
        <v>2625.3</v>
      </c>
      <c r="K213" s="148"/>
      <c r="M213" s="68">
        <v>2293.4</v>
      </c>
    </row>
    <row r="214" spans="1:13" ht="37.5" x14ac:dyDescent="0.25">
      <c r="A214" s="139" t="s">
        <v>665</v>
      </c>
      <c r="B214" s="357" t="s">
        <v>141</v>
      </c>
      <c r="C214" s="139" t="s">
        <v>10</v>
      </c>
      <c r="D214" s="139" t="s">
        <v>144</v>
      </c>
      <c r="E214" s="139" t="s">
        <v>148</v>
      </c>
      <c r="F214" s="139" t="s">
        <v>142</v>
      </c>
      <c r="G214" s="139"/>
      <c r="H214" s="68">
        <f>H215</f>
        <v>2293.4</v>
      </c>
      <c r="I214" s="68">
        <f t="shared" si="78"/>
        <v>2417.1</v>
      </c>
      <c r="J214" s="68">
        <f t="shared" si="78"/>
        <v>2625.3</v>
      </c>
      <c r="K214" s="148"/>
      <c r="M214" s="68">
        <v>2293.4</v>
      </c>
    </row>
    <row r="215" spans="1:13" ht="37.5" x14ac:dyDescent="0.25">
      <c r="A215" s="139" t="s">
        <v>666</v>
      </c>
      <c r="B215" s="219" t="s">
        <v>667</v>
      </c>
      <c r="C215" s="139" t="s">
        <v>10</v>
      </c>
      <c r="D215" s="139" t="s">
        <v>144</v>
      </c>
      <c r="E215" s="139" t="s">
        <v>148</v>
      </c>
      <c r="F215" s="139" t="s">
        <v>668</v>
      </c>
      <c r="G215" s="66"/>
      <c r="H215" s="68">
        <f>H216</f>
        <v>2293.4</v>
      </c>
      <c r="I215" s="68">
        <f t="shared" si="78"/>
        <v>2417.1</v>
      </c>
      <c r="J215" s="68">
        <f t="shared" si="78"/>
        <v>2625.3</v>
      </c>
      <c r="K215" s="148"/>
      <c r="M215" s="68">
        <v>2293.4</v>
      </c>
    </row>
    <row r="216" spans="1:13" ht="37.5" x14ac:dyDescent="0.25">
      <c r="A216" s="139" t="s">
        <v>669</v>
      </c>
      <c r="B216" s="219" t="s">
        <v>511</v>
      </c>
      <c r="C216" s="139" t="s">
        <v>10</v>
      </c>
      <c r="D216" s="139" t="s">
        <v>144</v>
      </c>
      <c r="E216" s="139" t="s">
        <v>148</v>
      </c>
      <c r="F216" s="139" t="s">
        <v>668</v>
      </c>
      <c r="G216" s="139" t="s">
        <v>512</v>
      </c>
      <c r="H216" s="68">
        <f>H217</f>
        <v>2293.4</v>
      </c>
      <c r="I216" s="68">
        <f t="shared" si="78"/>
        <v>2417.1</v>
      </c>
      <c r="J216" s="68">
        <f t="shared" si="78"/>
        <v>2625.3</v>
      </c>
      <c r="K216" s="148"/>
      <c r="M216" s="68">
        <v>2293.4</v>
      </c>
    </row>
    <row r="217" spans="1:13" x14ac:dyDescent="0.25">
      <c r="A217" s="71" t="s">
        <v>670</v>
      </c>
      <c r="B217" s="145" t="s">
        <v>517</v>
      </c>
      <c r="C217" s="71" t="s">
        <v>10</v>
      </c>
      <c r="D217" s="71" t="s">
        <v>144</v>
      </c>
      <c r="E217" s="71" t="s">
        <v>148</v>
      </c>
      <c r="F217" s="71" t="s">
        <v>668</v>
      </c>
      <c r="G217" s="71" t="s">
        <v>518</v>
      </c>
      <c r="H217" s="69">
        <v>2293.4</v>
      </c>
      <c r="I217" s="250">
        <v>2417.1</v>
      </c>
      <c r="J217" s="250">
        <v>2625.3</v>
      </c>
      <c r="K217" s="148"/>
      <c r="M217" s="69">
        <v>2293.4</v>
      </c>
    </row>
    <row r="218" spans="1:13" ht="75" x14ac:dyDescent="0.25">
      <c r="A218" s="377" t="s">
        <v>149</v>
      </c>
      <c r="B218" s="378" t="s">
        <v>671</v>
      </c>
      <c r="C218" s="377" t="s">
        <v>10</v>
      </c>
      <c r="D218" s="377"/>
      <c r="E218" s="377"/>
      <c r="F218" s="377"/>
      <c r="G218" s="377"/>
      <c r="H218" s="379">
        <f>H219+H252+H262+H273+H318+H348</f>
        <v>19624.099999999999</v>
      </c>
      <c r="I218" s="379">
        <f t="shared" ref="I218:J218" si="79">I219+I252+I262+I273+I318+I348</f>
        <v>19425.3</v>
      </c>
      <c r="J218" s="379">
        <f t="shared" si="79"/>
        <v>20470</v>
      </c>
      <c r="K218" s="287" t="s">
        <v>851</v>
      </c>
      <c r="M218" s="273">
        <v>19624.099999999999</v>
      </c>
    </row>
    <row r="219" spans="1:13" x14ac:dyDescent="0.25">
      <c r="A219" s="254" t="s">
        <v>672</v>
      </c>
      <c r="B219" s="373" t="s">
        <v>673</v>
      </c>
      <c r="C219" s="254" t="s">
        <v>10</v>
      </c>
      <c r="D219" s="254" t="s">
        <v>32</v>
      </c>
      <c r="E219" s="254"/>
      <c r="F219" s="254"/>
      <c r="G219" s="254"/>
      <c r="H219" s="380">
        <f>H220</f>
        <v>10709.7</v>
      </c>
      <c r="I219" s="380">
        <f t="shared" ref="I219:J219" si="80">I220</f>
        <v>10078.9</v>
      </c>
      <c r="J219" s="380">
        <f t="shared" si="80"/>
        <v>10389.5</v>
      </c>
      <c r="K219" s="287" t="s">
        <v>883</v>
      </c>
      <c r="M219" s="274">
        <v>10709.7</v>
      </c>
    </row>
    <row r="220" spans="1:13" x14ac:dyDescent="0.25">
      <c r="A220" s="247" t="s">
        <v>33</v>
      </c>
      <c r="B220" s="222" t="s">
        <v>194</v>
      </c>
      <c r="C220" s="247" t="s">
        <v>10</v>
      </c>
      <c r="D220" s="247" t="s">
        <v>64</v>
      </c>
      <c r="E220" s="247"/>
      <c r="F220" s="247"/>
      <c r="G220" s="247"/>
      <c r="H220" s="248">
        <f>H221+H246</f>
        <v>10709.7</v>
      </c>
      <c r="I220" s="248">
        <f t="shared" ref="I220:J220" si="81">I221+I246</f>
        <v>10078.9</v>
      </c>
      <c r="J220" s="248">
        <f t="shared" si="81"/>
        <v>10389.5</v>
      </c>
      <c r="K220" s="148"/>
      <c r="M220" s="271">
        <v>10709.7</v>
      </c>
    </row>
    <row r="221" spans="1:13" ht="93.75" x14ac:dyDescent="0.25">
      <c r="A221" s="139" t="s">
        <v>1</v>
      </c>
      <c r="B221" s="219" t="s">
        <v>70</v>
      </c>
      <c r="C221" s="139" t="s">
        <v>10</v>
      </c>
      <c r="D221" s="139" t="s">
        <v>64</v>
      </c>
      <c r="E221" s="139" t="s">
        <v>71</v>
      </c>
      <c r="F221" s="139"/>
      <c r="G221" s="139"/>
      <c r="H221" s="68">
        <f>H222+H230+H242</f>
        <v>10678.1</v>
      </c>
      <c r="I221" s="68">
        <f t="shared" ref="I221:J221" si="82">I222+I230+I242</f>
        <v>10045.5</v>
      </c>
      <c r="J221" s="68">
        <f t="shared" si="82"/>
        <v>10354.4</v>
      </c>
      <c r="K221" s="148"/>
      <c r="M221" s="67">
        <v>10678.1</v>
      </c>
    </row>
    <row r="222" spans="1:13" ht="93.75" x14ac:dyDescent="0.25">
      <c r="A222" s="139" t="s">
        <v>2</v>
      </c>
      <c r="B222" s="219" t="s">
        <v>39</v>
      </c>
      <c r="C222" s="139" t="s">
        <v>10</v>
      </c>
      <c r="D222" s="139" t="s">
        <v>64</v>
      </c>
      <c r="E222" s="139" t="s">
        <v>71</v>
      </c>
      <c r="F222" s="139" t="s">
        <v>40</v>
      </c>
      <c r="G222" s="139"/>
      <c r="H222" s="68">
        <f>H223</f>
        <v>10552.9</v>
      </c>
      <c r="I222" s="68">
        <f t="shared" ref="I222:J222" si="83">I223</f>
        <v>9920.6</v>
      </c>
      <c r="J222" s="68">
        <f t="shared" si="83"/>
        <v>10225.4</v>
      </c>
      <c r="K222" s="148"/>
      <c r="M222" s="67">
        <v>10552.9</v>
      </c>
    </row>
    <row r="223" spans="1:13" ht="37.5" x14ac:dyDescent="0.25">
      <c r="A223" s="139" t="s">
        <v>325</v>
      </c>
      <c r="B223" s="219" t="s">
        <v>674</v>
      </c>
      <c r="C223" s="139" t="s">
        <v>10</v>
      </c>
      <c r="D223" s="139" t="s">
        <v>64</v>
      </c>
      <c r="E223" s="139" t="s">
        <v>71</v>
      </c>
      <c r="F223" s="139" t="s">
        <v>675</v>
      </c>
      <c r="G223" s="139"/>
      <c r="H223" s="68">
        <f>H224+H227</f>
        <v>10552.9</v>
      </c>
      <c r="I223" s="68">
        <f t="shared" ref="I223:J223" si="84">I224+I227</f>
        <v>9920.6</v>
      </c>
      <c r="J223" s="68">
        <f t="shared" si="84"/>
        <v>10225.4</v>
      </c>
      <c r="K223" s="148"/>
      <c r="M223" s="67">
        <v>10552.9</v>
      </c>
    </row>
    <row r="224" spans="1:13" ht="56.25" x14ac:dyDescent="0.25">
      <c r="A224" s="139" t="s">
        <v>482</v>
      </c>
      <c r="B224" s="219" t="s">
        <v>676</v>
      </c>
      <c r="C224" s="139" t="s">
        <v>10</v>
      </c>
      <c r="D224" s="139" t="s">
        <v>64</v>
      </c>
      <c r="E224" s="139" t="s">
        <v>71</v>
      </c>
      <c r="F224" s="139" t="s">
        <v>677</v>
      </c>
      <c r="G224" s="139"/>
      <c r="H224" s="68">
        <f>H225</f>
        <v>8105.1</v>
      </c>
      <c r="I224" s="68">
        <f t="shared" ref="I224:J224" si="85">I225</f>
        <v>7619.5</v>
      </c>
      <c r="J224" s="68">
        <f t="shared" si="85"/>
        <v>7619.5</v>
      </c>
      <c r="K224" s="148"/>
      <c r="M224" s="68">
        <v>8105.1</v>
      </c>
    </row>
    <row r="225" spans="1:13" ht="37.5" x14ac:dyDescent="0.25">
      <c r="A225" s="139" t="s">
        <v>485</v>
      </c>
      <c r="B225" s="219" t="s">
        <v>486</v>
      </c>
      <c r="C225" s="139" t="s">
        <v>10</v>
      </c>
      <c r="D225" s="139" t="s">
        <v>64</v>
      </c>
      <c r="E225" s="139" t="s">
        <v>71</v>
      </c>
      <c r="F225" s="139" t="s">
        <v>677</v>
      </c>
      <c r="G225" s="139" t="s">
        <v>487</v>
      </c>
      <c r="H225" s="68">
        <f>SUM(H226:H226)</f>
        <v>8105.1</v>
      </c>
      <c r="I225" s="68">
        <f t="shared" ref="I225:J225" si="86">SUM(I226:I226)</f>
        <v>7619.5</v>
      </c>
      <c r="J225" s="68">
        <f t="shared" si="86"/>
        <v>7619.5</v>
      </c>
      <c r="K225" s="148"/>
      <c r="M225" s="68">
        <v>8105.1</v>
      </c>
    </row>
    <row r="226" spans="1:13" x14ac:dyDescent="0.25">
      <c r="A226" s="71" t="s">
        <v>488</v>
      </c>
      <c r="B226" s="145" t="s">
        <v>489</v>
      </c>
      <c r="C226" s="71" t="s">
        <v>10</v>
      </c>
      <c r="D226" s="71" t="s">
        <v>64</v>
      </c>
      <c r="E226" s="71" t="s">
        <v>71</v>
      </c>
      <c r="F226" s="71" t="s">
        <v>677</v>
      </c>
      <c r="G226" s="71" t="s">
        <v>490</v>
      </c>
      <c r="H226" s="69">
        <f>7619.5+485.6</f>
        <v>8105.1</v>
      </c>
      <c r="I226" s="250">
        <v>7619.5</v>
      </c>
      <c r="J226" s="250">
        <v>7619.5</v>
      </c>
      <c r="K226" s="148"/>
      <c r="M226" s="69">
        <v>8105.1</v>
      </c>
    </row>
    <row r="227" spans="1:13" ht="75" x14ac:dyDescent="0.25">
      <c r="A227" s="139" t="s">
        <v>491</v>
      </c>
      <c r="B227" s="219" t="s">
        <v>678</v>
      </c>
      <c r="C227" s="139" t="s">
        <v>10</v>
      </c>
      <c r="D227" s="139" t="s">
        <v>64</v>
      </c>
      <c r="E227" s="139" t="s">
        <v>71</v>
      </c>
      <c r="F227" s="139" t="s">
        <v>679</v>
      </c>
      <c r="G227" s="139"/>
      <c r="H227" s="68">
        <f>H228</f>
        <v>2447.7999999999997</v>
      </c>
      <c r="I227" s="68">
        <f t="shared" ref="I227:J228" si="87">I228</f>
        <v>2301.1</v>
      </c>
      <c r="J227" s="68">
        <f t="shared" si="87"/>
        <v>2605.9</v>
      </c>
      <c r="K227" s="148"/>
      <c r="M227" s="68">
        <v>2447.7999999999997</v>
      </c>
    </row>
    <row r="228" spans="1:13" ht="37.5" x14ac:dyDescent="0.25">
      <c r="A228" s="139" t="s">
        <v>491</v>
      </c>
      <c r="B228" s="219" t="s">
        <v>486</v>
      </c>
      <c r="C228" s="139" t="s">
        <v>10</v>
      </c>
      <c r="D228" s="139" t="s">
        <v>64</v>
      </c>
      <c r="E228" s="139" t="s">
        <v>71</v>
      </c>
      <c r="F228" s="139" t="s">
        <v>679</v>
      </c>
      <c r="G228" s="139" t="s">
        <v>487</v>
      </c>
      <c r="H228" s="68">
        <f>H229</f>
        <v>2447.7999999999997</v>
      </c>
      <c r="I228" s="68">
        <f t="shared" si="87"/>
        <v>2301.1</v>
      </c>
      <c r="J228" s="68">
        <f t="shared" si="87"/>
        <v>2605.9</v>
      </c>
      <c r="K228" s="148"/>
      <c r="M228" s="68">
        <v>2447.7999999999997</v>
      </c>
    </row>
    <row r="229" spans="1:13" x14ac:dyDescent="0.25">
      <c r="A229" s="71" t="s">
        <v>491</v>
      </c>
      <c r="B229" s="145" t="s">
        <v>495</v>
      </c>
      <c r="C229" s="71" t="s">
        <v>10</v>
      </c>
      <c r="D229" s="71" t="s">
        <v>64</v>
      </c>
      <c r="E229" s="71" t="s">
        <v>71</v>
      </c>
      <c r="F229" s="71" t="s">
        <v>679</v>
      </c>
      <c r="G229" s="71" t="s">
        <v>496</v>
      </c>
      <c r="H229" s="69">
        <f>2301.1+146.7</f>
        <v>2447.7999999999997</v>
      </c>
      <c r="I229" s="250">
        <v>2301.1</v>
      </c>
      <c r="J229" s="250">
        <v>2605.9</v>
      </c>
      <c r="K229" s="148"/>
      <c r="M229" s="69">
        <v>2447.7999999999997</v>
      </c>
    </row>
    <row r="230" spans="1:13" ht="37.5" x14ac:dyDescent="0.25">
      <c r="A230" s="139" t="s">
        <v>328</v>
      </c>
      <c r="B230" s="219" t="s">
        <v>46</v>
      </c>
      <c r="C230" s="139" t="s">
        <v>10</v>
      </c>
      <c r="D230" s="139" t="s">
        <v>64</v>
      </c>
      <c r="E230" s="139" t="s">
        <v>71</v>
      </c>
      <c r="F230" s="139" t="s">
        <v>47</v>
      </c>
      <c r="G230" s="139"/>
      <c r="H230" s="68">
        <f>H232+H236</f>
        <v>125.1</v>
      </c>
      <c r="I230" s="68">
        <f t="shared" ref="I230:J230" si="88">I232+I236</f>
        <v>124.8</v>
      </c>
      <c r="J230" s="68">
        <f t="shared" si="88"/>
        <v>128.9</v>
      </c>
      <c r="K230" s="148"/>
      <c r="M230" s="68">
        <v>125.1</v>
      </c>
    </row>
    <row r="231" spans="1:13" ht="56.25" x14ac:dyDescent="0.25">
      <c r="A231" s="139" t="s">
        <v>330</v>
      </c>
      <c r="B231" s="360" t="s">
        <v>507</v>
      </c>
      <c r="C231" s="139" t="s">
        <v>10</v>
      </c>
      <c r="D231" s="139" t="s">
        <v>64</v>
      </c>
      <c r="E231" s="139" t="s">
        <v>71</v>
      </c>
      <c r="F231" s="139" t="s">
        <v>508</v>
      </c>
      <c r="G231" s="139"/>
      <c r="H231" s="68">
        <f>H232</f>
        <v>57.6</v>
      </c>
      <c r="I231" s="68">
        <f t="shared" ref="I231:J232" si="89">I232</f>
        <v>60.8</v>
      </c>
      <c r="J231" s="68">
        <f t="shared" si="89"/>
        <v>64</v>
      </c>
      <c r="K231" s="148"/>
      <c r="M231" s="67">
        <v>57.6</v>
      </c>
    </row>
    <row r="232" spans="1:13" ht="37.5" x14ac:dyDescent="0.25">
      <c r="A232" s="139" t="s">
        <v>680</v>
      </c>
      <c r="B232" s="360" t="s">
        <v>509</v>
      </c>
      <c r="C232" s="139" t="s">
        <v>10</v>
      </c>
      <c r="D232" s="139" t="s">
        <v>64</v>
      </c>
      <c r="E232" s="139" t="s">
        <v>71</v>
      </c>
      <c r="F232" s="139" t="s">
        <v>510</v>
      </c>
      <c r="G232" s="139"/>
      <c r="H232" s="68">
        <f>H233</f>
        <v>57.6</v>
      </c>
      <c r="I232" s="68">
        <f t="shared" si="89"/>
        <v>60.8</v>
      </c>
      <c r="J232" s="68">
        <f t="shared" si="89"/>
        <v>64</v>
      </c>
      <c r="K232" s="148"/>
      <c r="M232" s="67">
        <v>57.6</v>
      </c>
    </row>
    <row r="233" spans="1:13" x14ac:dyDescent="0.25">
      <c r="A233" s="139" t="s">
        <v>681</v>
      </c>
      <c r="B233" s="219" t="s">
        <v>511</v>
      </c>
      <c r="C233" s="139" t="s">
        <v>10</v>
      </c>
      <c r="D233" s="139" t="s">
        <v>64</v>
      </c>
      <c r="E233" s="139" t="s">
        <v>71</v>
      </c>
      <c r="F233" s="139" t="s">
        <v>510</v>
      </c>
      <c r="G233" s="139" t="s">
        <v>512</v>
      </c>
      <c r="H233" s="68">
        <f>H235+H234</f>
        <v>57.6</v>
      </c>
      <c r="I233" s="68">
        <f t="shared" ref="I233:J233" si="90">I235+I234</f>
        <v>60.8</v>
      </c>
      <c r="J233" s="68">
        <f t="shared" si="90"/>
        <v>64</v>
      </c>
      <c r="K233" s="148"/>
      <c r="M233" s="67">
        <v>57.6</v>
      </c>
    </row>
    <row r="234" spans="1:13" x14ac:dyDescent="0.25">
      <c r="A234" s="71" t="s">
        <v>682</v>
      </c>
      <c r="B234" s="363" t="s">
        <v>534</v>
      </c>
      <c r="C234" s="71" t="s">
        <v>10</v>
      </c>
      <c r="D234" s="71" t="s">
        <v>64</v>
      </c>
      <c r="E234" s="71" t="s">
        <v>71</v>
      </c>
      <c r="F234" s="71" t="s">
        <v>510</v>
      </c>
      <c r="G234" s="71" t="s">
        <v>535</v>
      </c>
      <c r="H234" s="69">
        <v>50.7</v>
      </c>
      <c r="I234" s="249">
        <v>53.5</v>
      </c>
      <c r="J234" s="249">
        <v>56.3</v>
      </c>
      <c r="K234" s="148"/>
      <c r="M234" s="238">
        <v>50.7</v>
      </c>
    </row>
    <row r="235" spans="1:13" x14ac:dyDescent="0.25">
      <c r="A235" s="71" t="s">
        <v>683</v>
      </c>
      <c r="B235" s="145" t="s">
        <v>517</v>
      </c>
      <c r="C235" s="71" t="s">
        <v>10</v>
      </c>
      <c r="D235" s="71" t="s">
        <v>64</v>
      </c>
      <c r="E235" s="71" t="s">
        <v>71</v>
      </c>
      <c r="F235" s="71" t="s">
        <v>510</v>
      </c>
      <c r="G235" s="71" t="s">
        <v>518</v>
      </c>
      <c r="H235" s="69">
        <v>6.9</v>
      </c>
      <c r="I235" s="249">
        <v>7.3</v>
      </c>
      <c r="J235" s="249">
        <v>7.7</v>
      </c>
      <c r="K235" s="148"/>
      <c r="M235" s="238">
        <v>6.9</v>
      </c>
    </row>
    <row r="236" spans="1:13" ht="56.25" x14ac:dyDescent="0.25">
      <c r="A236" s="139" t="s">
        <v>331</v>
      </c>
      <c r="B236" s="219" t="s">
        <v>527</v>
      </c>
      <c r="C236" s="139" t="s">
        <v>10</v>
      </c>
      <c r="D236" s="139" t="s">
        <v>64</v>
      </c>
      <c r="E236" s="139" t="s">
        <v>71</v>
      </c>
      <c r="F236" s="139" t="s">
        <v>528</v>
      </c>
      <c r="G236" s="139"/>
      <c r="H236" s="68">
        <f>H240+H237</f>
        <v>67.5</v>
      </c>
      <c r="I236" s="68">
        <f t="shared" ref="I236:J236" si="91">I240+I237</f>
        <v>64</v>
      </c>
      <c r="J236" s="68">
        <f t="shared" si="91"/>
        <v>64.900000000000006</v>
      </c>
      <c r="K236" s="148"/>
      <c r="M236" s="67">
        <v>67.5</v>
      </c>
    </row>
    <row r="237" spans="1:13" x14ac:dyDescent="0.25">
      <c r="A237" s="139" t="s">
        <v>684</v>
      </c>
      <c r="B237" s="219" t="s">
        <v>511</v>
      </c>
      <c r="C237" s="139" t="s">
        <v>10</v>
      </c>
      <c r="D237" s="139" t="s">
        <v>64</v>
      </c>
      <c r="E237" s="139" t="s">
        <v>71</v>
      </c>
      <c r="F237" s="139" t="s">
        <v>528</v>
      </c>
      <c r="G237" s="139" t="s">
        <v>512</v>
      </c>
      <c r="H237" s="68">
        <f>H239+H238</f>
        <v>19.5</v>
      </c>
      <c r="I237" s="68">
        <f t="shared" ref="I237:J237" si="92">I239+I238</f>
        <v>16</v>
      </c>
      <c r="J237" s="68">
        <f t="shared" si="92"/>
        <v>16.900000000000002</v>
      </c>
      <c r="K237" s="148"/>
      <c r="M237" s="67">
        <v>19.5</v>
      </c>
    </row>
    <row r="238" spans="1:13" x14ac:dyDescent="0.25">
      <c r="A238" s="71" t="s">
        <v>685</v>
      </c>
      <c r="B238" s="145" t="s">
        <v>531</v>
      </c>
      <c r="C238" s="71" t="s">
        <v>10</v>
      </c>
      <c r="D238" s="71" t="s">
        <v>64</v>
      </c>
      <c r="E238" s="71" t="s">
        <v>71</v>
      </c>
      <c r="F238" s="71" t="s">
        <v>528</v>
      </c>
      <c r="G238" s="71" t="s">
        <v>532</v>
      </c>
      <c r="H238" s="69">
        <v>2.8</v>
      </c>
      <c r="I238" s="249">
        <v>2.9</v>
      </c>
      <c r="J238" s="249">
        <v>3.1</v>
      </c>
      <c r="K238" s="148"/>
      <c r="M238" s="238">
        <v>2.8</v>
      </c>
    </row>
    <row r="239" spans="1:13" x14ac:dyDescent="0.25">
      <c r="A239" s="71" t="s">
        <v>686</v>
      </c>
      <c r="B239" s="145" t="s">
        <v>517</v>
      </c>
      <c r="C239" s="71" t="s">
        <v>10</v>
      </c>
      <c r="D239" s="71" t="s">
        <v>64</v>
      </c>
      <c r="E239" s="71" t="s">
        <v>71</v>
      </c>
      <c r="F239" s="71" t="s">
        <v>528</v>
      </c>
      <c r="G239" s="71" t="s">
        <v>518</v>
      </c>
      <c r="H239" s="69">
        <f>14.5+2.2</f>
        <v>16.7</v>
      </c>
      <c r="I239" s="249">
        <v>13.1</v>
      </c>
      <c r="J239" s="249">
        <v>13.8</v>
      </c>
      <c r="K239" s="148"/>
      <c r="M239" s="238">
        <v>16.7</v>
      </c>
    </row>
    <row r="240" spans="1:13" x14ac:dyDescent="0.25">
      <c r="A240" s="139" t="s">
        <v>687</v>
      </c>
      <c r="B240" s="219" t="s">
        <v>520</v>
      </c>
      <c r="C240" s="139" t="s">
        <v>10</v>
      </c>
      <c r="D240" s="139" t="s">
        <v>64</v>
      </c>
      <c r="E240" s="139" t="s">
        <v>71</v>
      </c>
      <c r="F240" s="139" t="s">
        <v>528</v>
      </c>
      <c r="G240" s="139" t="s">
        <v>142</v>
      </c>
      <c r="H240" s="68">
        <f>SUM(H241:H241)</f>
        <v>48</v>
      </c>
      <c r="I240" s="68">
        <f t="shared" ref="I240:J240" si="93">SUM(I241:I241)</f>
        <v>48</v>
      </c>
      <c r="J240" s="68">
        <f t="shared" si="93"/>
        <v>48</v>
      </c>
      <c r="K240" s="148"/>
      <c r="M240" s="67">
        <v>48</v>
      </c>
    </row>
    <row r="241" spans="1:13" x14ac:dyDescent="0.25">
      <c r="A241" s="71" t="s">
        <v>688</v>
      </c>
      <c r="B241" s="145" t="s">
        <v>525</v>
      </c>
      <c r="C241" s="71" t="s">
        <v>10</v>
      </c>
      <c r="D241" s="71" t="s">
        <v>64</v>
      </c>
      <c r="E241" s="71" t="s">
        <v>71</v>
      </c>
      <c r="F241" s="71" t="s">
        <v>528</v>
      </c>
      <c r="G241" s="71" t="s">
        <v>526</v>
      </c>
      <c r="H241" s="69">
        <v>48</v>
      </c>
      <c r="I241" s="251">
        <v>48</v>
      </c>
      <c r="J241" s="251">
        <v>48</v>
      </c>
      <c r="K241" s="148"/>
      <c r="M241" s="238">
        <v>48</v>
      </c>
    </row>
    <row r="242" spans="1:13" x14ac:dyDescent="0.25">
      <c r="A242" s="139" t="s">
        <v>333</v>
      </c>
      <c r="B242" s="219" t="s">
        <v>49</v>
      </c>
      <c r="C242" s="139" t="s">
        <v>10</v>
      </c>
      <c r="D242" s="139" t="s">
        <v>64</v>
      </c>
      <c r="E242" s="139" t="s">
        <v>71</v>
      </c>
      <c r="F242" s="139" t="s">
        <v>50</v>
      </c>
      <c r="G242" s="139"/>
      <c r="H242" s="68">
        <f>H243</f>
        <v>0.1</v>
      </c>
      <c r="I242" s="68">
        <f t="shared" ref="I242:J244" si="94">I243</f>
        <v>0.1</v>
      </c>
      <c r="J242" s="68">
        <f t="shared" si="94"/>
        <v>0.1</v>
      </c>
      <c r="K242" s="148"/>
      <c r="M242" s="67">
        <v>0.1</v>
      </c>
    </row>
    <row r="243" spans="1:13" x14ac:dyDescent="0.25">
      <c r="A243" s="139" t="s">
        <v>689</v>
      </c>
      <c r="B243" s="219" t="s">
        <v>539</v>
      </c>
      <c r="C243" s="139" t="s">
        <v>10</v>
      </c>
      <c r="D243" s="139" t="s">
        <v>64</v>
      </c>
      <c r="E243" s="139" t="s">
        <v>71</v>
      </c>
      <c r="F243" s="139" t="s">
        <v>540</v>
      </c>
      <c r="G243" s="139"/>
      <c r="H243" s="68">
        <f>H244</f>
        <v>0.1</v>
      </c>
      <c r="I243" s="68">
        <f t="shared" si="94"/>
        <v>0.1</v>
      </c>
      <c r="J243" s="68">
        <f t="shared" si="94"/>
        <v>0.1</v>
      </c>
      <c r="K243" s="148"/>
      <c r="M243" s="67">
        <v>0.1</v>
      </c>
    </row>
    <row r="244" spans="1:13" x14ac:dyDescent="0.25">
      <c r="A244" s="139" t="s">
        <v>690</v>
      </c>
      <c r="B244" s="219" t="s">
        <v>548</v>
      </c>
      <c r="C244" s="139" t="s">
        <v>10</v>
      </c>
      <c r="D244" s="139" t="s">
        <v>64</v>
      </c>
      <c r="E244" s="139" t="s">
        <v>71</v>
      </c>
      <c r="F244" s="139" t="s">
        <v>549</v>
      </c>
      <c r="G244" s="139"/>
      <c r="H244" s="68">
        <f>H245</f>
        <v>0.1</v>
      </c>
      <c r="I244" s="68">
        <f t="shared" si="94"/>
        <v>0.1</v>
      </c>
      <c r="J244" s="68">
        <f t="shared" si="94"/>
        <v>0.1</v>
      </c>
      <c r="K244" s="148"/>
      <c r="M244" s="67">
        <v>0.1</v>
      </c>
    </row>
    <row r="245" spans="1:13" x14ac:dyDescent="0.25">
      <c r="A245" s="71" t="s">
        <v>691</v>
      </c>
      <c r="B245" s="145" t="s">
        <v>545</v>
      </c>
      <c r="C245" s="71" t="s">
        <v>10</v>
      </c>
      <c r="D245" s="71" t="s">
        <v>64</v>
      </c>
      <c r="E245" s="71" t="s">
        <v>71</v>
      </c>
      <c r="F245" s="71" t="s">
        <v>549</v>
      </c>
      <c r="G245" s="71" t="s">
        <v>838</v>
      </c>
      <c r="H245" s="69">
        <v>0.1</v>
      </c>
      <c r="I245" s="239">
        <v>0.1</v>
      </c>
      <c r="J245" s="239">
        <v>0.1</v>
      </c>
      <c r="K245" s="148"/>
      <c r="M245" s="238">
        <v>0.1</v>
      </c>
    </row>
    <row r="246" spans="1:13" x14ac:dyDescent="0.25">
      <c r="A246" s="139" t="s">
        <v>3</v>
      </c>
      <c r="B246" s="219" t="s">
        <v>275</v>
      </c>
      <c r="C246" s="139" t="s">
        <v>10</v>
      </c>
      <c r="D246" s="139" t="s">
        <v>64</v>
      </c>
      <c r="E246" s="139" t="s">
        <v>276</v>
      </c>
      <c r="F246" s="139"/>
      <c r="G246" s="71"/>
      <c r="H246" s="253">
        <f>H247</f>
        <v>31.6</v>
      </c>
      <c r="I246" s="253">
        <f t="shared" ref="I246:J250" si="95">I247</f>
        <v>33.4</v>
      </c>
      <c r="J246" s="253">
        <f t="shared" si="95"/>
        <v>35.1</v>
      </c>
      <c r="K246" s="148"/>
      <c r="M246" s="272">
        <v>31.6</v>
      </c>
    </row>
    <row r="247" spans="1:13" ht="37.5" x14ac:dyDescent="0.25">
      <c r="A247" s="139" t="s">
        <v>4</v>
      </c>
      <c r="B247" s="219" t="s">
        <v>46</v>
      </c>
      <c r="C247" s="139" t="s">
        <v>10</v>
      </c>
      <c r="D247" s="139" t="s">
        <v>64</v>
      </c>
      <c r="E247" s="139" t="s">
        <v>276</v>
      </c>
      <c r="F247" s="139" t="s">
        <v>47</v>
      </c>
      <c r="G247" s="71"/>
      <c r="H247" s="68">
        <f>H248</f>
        <v>31.6</v>
      </c>
      <c r="I247" s="68">
        <f t="shared" si="95"/>
        <v>33.4</v>
      </c>
      <c r="J247" s="68">
        <f t="shared" si="95"/>
        <v>35.1</v>
      </c>
      <c r="K247" s="148"/>
      <c r="M247" s="67">
        <v>31.6</v>
      </c>
    </row>
    <row r="248" spans="1:13" ht="56.25" x14ac:dyDescent="0.25">
      <c r="A248" s="139" t="s">
        <v>692</v>
      </c>
      <c r="B248" s="360" t="s">
        <v>507</v>
      </c>
      <c r="C248" s="139" t="s">
        <v>10</v>
      </c>
      <c r="D248" s="139" t="s">
        <v>64</v>
      </c>
      <c r="E248" s="139" t="s">
        <v>276</v>
      </c>
      <c r="F248" s="139" t="s">
        <v>508</v>
      </c>
      <c r="G248" s="71"/>
      <c r="H248" s="68">
        <f>H249</f>
        <v>31.6</v>
      </c>
      <c r="I248" s="68">
        <f t="shared" si="95"/>
        <v>33.4</v>
      </c>
      <c r="J248" s="68">
        <f t="shared" si="95"/>
        <v>35.1</v>
      </c>
      <c r="K248" s="148"/>
      <c r="M248" s="67">
        <v>31.6</v>
      </c>
    </row>
    <row r="249" spans="1:13" ht="56.25" x14ac:dyDescent="0.25">
      <c r="A249" s="139" t="s">
        <v>693</v>
      </c>
      <c r="B249" s="219" t="s">
        <v>527</v>
      </c>
      <c r="C249" s="139" t="s">
        <v>10</v>
      </c>
      <c r="D249" s="139" t="s">
        <v>64</v>
      </c>
      <c r="E249" s="139" t="s">
        <v>276</v>
      </c>
      <c r="F249" s="139" t="s">
        <v>528</v>
      </c>
      <c r="G249" s="71"/>
      <c r="H249" s="68">
        <f>H250</f>
        <v>31.6</v>
      </c>
      <c r="I249" s="68">
        <f t="shared" si="95"/>
        <v>33.4</v>
      </c>
      <c r="J249" s="68">
        <f t="shared" si="95"/>
        <v>35.1</v>
      </c>
      <c r="K249" s="148"/>
      <c r="M249" s="68">
        <v>31.6</v>
      </c>
    </row>
    <row r="250" spans="1:13" x14ac:dyDescent="0.25">
      <c r="A250" s="139" t="s">
        <v>694</v>
      </c>
      <c r="B250" s="219" t="s">
        <v>511</v>
      </c>
      <c r="C250" s="139" t="s">
        <v>10</v>
      </c>
      <c r="D250" s="139" t="s">
        <v>64</v>
      </c>
      <c r="E250" s="139" t="s">
        <v>276</v>
      </c>
      <c r="F250" s="139" t="s">
        <v>528</v>
      </c>
      <c r="G250" s="139" t="s">
        <v>512</v>
      </c>
      <c r="H250" s="68">
        <f>H251</f>
        <v>31.6</v>
      </c>
      <c r="I250" s="68">
        <f t="shared" si="95"/>
        <v>33.4</v>
      </c>
      <c r="J250" s="68">
        <f t="shared" si="95"/>
        <v>35.1</v>
      </c>
      <c r="K250" s="148"/>
      <c r="M250" s="68">
        <v>31.6</v>
      </c>
    </row>
    <row r="251" spans="1:13" x14ac:dyDescent="0.25">
      <c r="A251" s="71" t="s">
        <v>695</v>
      </c>
      <c r="B251" s="145" t="s">
        <v>517</v>
      </c>
      <c r="C251" s="71" t="s">
        <v>10</v>
      </c>
      <c r="D251" s="71" t="s">
        <v>64</v>
      </c>
      <c r="E251" s="71" t="s">
        <v>276</v>
      </c>
      <c r="F251" s="71" t="s">
        <v>528</v>
      </c>
      <c r="G251" s="71" t="s">
        <v>518</v>
      </c>
      <c r="H251" s="69">
        <v>31.6</v>
      </c>
      <c r="I251" s="239">
        <v>33.4</v>
      </c>
      <c r="J251" s="239">
        <v>35.1</v>
      </c>
      <c r="K251" s="148"/>
      <c r="M251" s="69">
        <v>31.6</v>
      </c>
    </row>
    <row r="252" spans="1:13" ht="37.5" x14ac:dyDescent="0.25">
      <c r="A252" s="372" t="s">
        <v>14</v>
      </c>
      <c r="B252" s="373" t="s">
        <v>79</v>
      </c>
      <c r="C252" s="372" t="s">
        <v>10</v>
      </c>
      <c r="D252" s="372" t="s">
        <v>80</v>
      </c>
      <c r="E252" s="372"/>
      <c r="F252" s="372"/>
      <c r="G252" s="372"/>
      <c r="H252" s="246">
        <f>H253</f>
        <v>120.10000000000001</v>
      </c>
      <c r="I252" s="246">
        <f t="shared" ref="I252:J256" si="96">I253</f>
        <v>87.800000000000011</v>
      </c>
      <c r="J252" s="246">
        <f t="shared" si="96"/>
        <v>96</v>
      </c>
      <c r="K252" s="148"/>
      <c r="M252" s="246">
        <v>120.10000000000001</v>
      </c>
    </row>
    <row r="253" spans="1:13" ht="56.25" x14ac:dyDescent="0.25">
      <c r="A253" s="247" t="s">
        <v>12</v>
      </c>
      <c r="B253" s="356" t="s">
        <v>81</v>
      </c>
      <c r="C253" s="247" t="s">
        <v>10</v>
      </c>
      <c r="D253" s="247" t="s">
        <v>82</v>
      </c>
      <c r="E253" s="247"/>
      <c r="F253" s="247"/>
      <c r="G253" s="247"/>
      <c r="H253" s="248">
        <f>H254</f>
        <v>120.10000000000001</v>
      </c>
      <c r="I253" s="248">
        <f t="shared" si="96"/>
        <v>87.800000000000011</v>
      </c>
      <c r="J253" s="248">
        <f t="shared" si="96"/>
        <v>96</v>
      </c>
      <c r="K253" s="148"/>
      <c r="M253" s="248">
        <v>120.10000000000001</v>
      </c>
    </row>
    <row r="254" spans="1:13" ht="168.75" x14ac:dyDescent="0.25">
      <c r="A254" s="139" t="s">
        <v>15</v>
      </c>
      <c r="B254" s="339" t="s">
        <v>83</v>
      </c>
      <c r="C254" s="139" t="s">
        <v>10</v>
      </c>
      <c r="D254" s="139" t="s">
        <v>82</v>
      </c>
      <c r="E254" s="139" t="s">
        <v>84</v>
      </c>
      <c r="F254" s="139"/>
      <c r="G254" s="139"/>
      <c r="H254" s="68">
        <f>H255</f>
        <v>120.10000000000001</v>
      </c>
      <c r="I254" s="68">
        <f t="shared" si="96"/>
        <v>87.800000000000011</v>
      </c>
      <c r="J254" s="68">
        <f t="shared" si="96"/>
        <v>96</v>
      </c>
      <c r="K254" s="148"/>
      <c r="M254" s="67">
        <v>120.10000000000001</v>
      </c>
    </row>
    <row r="255" spans="1:13" ht="37.5" x14ac:dyDescent="0.25">
      <c r="A255" s="139" t="s">
        <v>13</v>
      </c>
      <c r="B255" s="219" t="s">
        <v>46</v>
      </c>
      <c r="C255" s="139" t="s">
        <v>10</v>
      </c>
      <c r="D255" s="139" t="s">
        <v>82</v>
      </c>
      <c r="E255" s="139" t="s">
        <v>84</v>
      </c>
      <c r="F255" s="139" t="s">
        <v>47</v>
      </c>
      <c r="G255" s="139"/>
      <c r="H255" s="68">
        <f>H256</f>
        <v>120.10000000000001</v>
      </c>
      <c r="I255" s="68">
        <f t="shared" si="96"/>
        <v>87.800000000000011</v>
      </c>
      <c r="J255" s="68">
        <f t="shared" si="96"/>
        <v>96</v>
      </c>
      <c r="K255" s="148"/>
      <c r="M255" s="67">
        <v>120.10000000000001</v>
      </c>
    </row>
    <row r="256" spans="1:13" ht="56.25" x14ac:dyDescent="0.25">
      <c r="A256" s="139" t="s">
        <v>372</v>
      </c>
      <c r="B256" s="360" t="s">
        <v>507</v>
      </c>
      <c r="C256" s="139" t="s">
        <v>10</v>
      </c>
      <c r="D256" s="139" t="s">
        <v>82</v>
      </c>
      <c r="E256" s="139" t="s">
        <v>84</v>
      </c>
      <c r="F256" s="139" t="s">
        <v>508</v>
      </c>
      <c r="G256" s="139"/>
      <c r="H256" s="68">
        <f>H257</f>
        <v>120.10000000000001</v>
      </c>
      <c r="I256" s="68">
        <f t="shared" si="96"/>
        <v>87.800000000000011</v>
      </c>
      <c r="J256" s="68">
        <f t="shared" si="96"/>
        <v>96</v>
      </c>
      <c r="K256" s="148"/>
      <c r="M256" s="67">
        <v>120.10000000000001</v>
      </c>
    </row>
    <row r="257" spans="1:13" ht="56.25" x14ac:dyDescent="0.25">
      <c r="A257" s="139" t="s">
        <v>400</v>
      </c>
      <c r="B257" s="219" t="s">
        <v>527</v>
      </c>
      <c r="C257" s="139" t="s">
        <v>10</v>
      </c>
      <c r="D257" s="139" t="s">
        <v>82</v>
      </c>
      <c r="E257" s="139" t="s">
        <v>84</v>
      </c>
      <c r="F257" s="139" t="s">
        <v>528</v>
      </c>
      <c r="G257" s="139"/>
      <c r="H257" s="68">
        <f>H258+H259</f>
        <v>120.10000000000001</v>
      </c>
      <c r="I257" s="68">
        <f t="shared" ref="I257:J257" si="97">I258+I259</f>
        <v>87.800000000000011</v>
      </c>
      <c r="J257" s="68">
        <f t="shared" si="97"/>
        <v>96</v>
      </c>
      <c r="K257" s="148"/>
      <c r="M257" s="67">
        <v>120.10000000000001</v>
      </c>
    </row>
    <row r="258" spans="1:13" x14ac:dyDescent="0.25">
      <c r="A258" s="71" t="s">
        <v>580</v>
      </c>
      <c r="B258" s="145" t="s">
        <v>545</v>
      </c>
      <c r="C258" s="71" t="s">
        <v>10</v>
      </c>
      <c r="D258" s="71" t="s">
        <v>82</v>
      </c>
      <c r="E258" s="71" t="s">
        <v>84</v>
      </c>
      <c r="F258" s="71" t="s">
        <v>528</v>
      </c>
      <c r="G258" s="71" t="s">
        <v>839</v>
      </c>
      <c r="H258" s="69">
        <v>18.2</v>
      </c>
      <c r="I258" s="249">
        <v>22.6</v>
      </c>
      <c r="J258" s="249">
        <v>27.3</v>
      </c>
      <c r="K258" s="148"/>
      <c r="M258" s="238">
        <v>18.2</v>
      </c>
    </row>
    <row r="259" spans="1:13" x14ac:dyDescent="0.25">
      <c r="A259" s="139" t="s">
        <v>696</v>
      </c>
      <c r="B259" s="219" t="s">
        <v>520</v>
      </c>
      <c r="C259" s="139" t="s">
        <v>10</v>
      </c>
      <c r="D259" s="139" t="s">
        <v>82</v>
      </c>
      <c r="E259" s="139" t="s">
        <v>84</v>
      </c>
      <c r="F259" s="139" t="s">
        <v>528</v>
      </c>
      <c r="G259" s="139" t="s">
        <v>142</v>
      </c>
      <c r="H259" s="68">
        <f>H260+H261</f>
        <v>101.9</v>
      </c>
      <c r="I259" s="68">
        <f t="shared" ref="I259:J259" si="98">I260+I261</f>
        <v>65.2</v>
      </c>
      <c r="J259" s="68">
        <f t="shared" si="98"/>
        <v>68.7</v>
      </c>
      <c r="K259" s="148"/>
      <c r="M259" s="67">
        <v>101.9</v>
      </c>
    </row>
    <row r="260" spans="1:13" x14ac:dyDescent="0.25">
      <c r="A260" s="71" t="s">
        <v>697</v>
      </c>
      <c r="B260" s="145" t="s">
        <v>522</v>
      </c>
      <c r="C260" s="71" t="s">
        <v>10</v>
      </c>
      <c r="D260" s="71" t="s">
        <v>82</v>
      </c>
      <c r="E260" s="71" t="s">
        <v>84</v>
      </c>
      <c r="F260" s="71" t="s">
        <v>528</v>
      </c>
      <c r="G260" s="71" t="s">
        <v>523</v>
      </c>
      <c r="H260" s="69">
        <v>40</v>
      </c>
      <c r="I260" s="251">
        <v>0</v>
      </c>
      <c r="J260" s="251">
        <v>0</v>
      </c>
      <c r="K260" s="148"/>
      <c r="M260" s="238">
        <v>40</v>
      </c>
    </row>
    <row r="261" spans="1:13" x14ac:dyDescent="0.25">
      <c r="A261" s="71" t="s">
        <v>698</v>
      </c>
      <c r="B261" s="145" t="s">
        <v>525</v>
      </c>
      <c r="C261" s="71" t="s">
        <v>10</v>
      </c>
      <c r="D261" s="71" t="s">
        <v>82</v>
      </c>
      <c r="E261" s="71" t="s">
        <v>84</v>
      </c>
      <c r="F261" s="71" t="s">
        <v>528</v>
      </c>
      <c r="G261" s="71" t="s">
        <v>526</v>
      </c>
      <c r="H261" s="69">
        <v>61.9</v>
      </c>
      <c r="I261" s="249">
        <v>65.2</v>
      </c>
      <c r="J261" s="249">
        <v>68.7</v>
      </c>
      <c r="K261" s="148"/>
      <c r="M261" s="238">
        <v>61.9</v>
      </c>
    </row>
    <row r="262" spans="1:13" ht="20.25" x14ac:dyDescent="0.25">
      <c r="A262" s="372" t="s">
        <v>25</v>
      </c>
      <c r="B262" s="361" t="s">
        <v>104</v>
      </c>
      <c r="C262" s="372" t="s">
        <v>10</v>
      </c>
      <c r="D262" s="372" t="s">
        <v>105</v>
      </c>
      <c r="E262" s="372"/>
      <c r="F262" s="372"/>
      <c r="G262" s="372"/>
      <c r="H262" s="246">
        <f>H264</f>
        <v>30</v>
      </c>
      <c r="I262" s="246">
        <f t="shared" ref="I262:J262" si="99">I264</f>
        <v>24.6</v>
      </c>
      <c r="J262" s="246">
        <f t="shared" si="99"/>
        <v>29.200000000000003</v>
      </c>
      <c r="K262" s="148"/>
      <c r="M262" s="269">
        <v>30</v>
      </c>
    </row>
    <row r="263" spans="1:13" ht="37.5" x14ac:dyDescent="0.25">
      <c r="A263" s="247" t="s">
        <v>449</v>
      </c>
      <c r="B263" s="222" t="s">
        <v>106</v>
      </c>
      <c r="C263" s="247" t="s">
        <v>10</v>
      </c>
      <c r="D263" s="247" t="s">
        <v>107</v>
      </c>
      <c r="E263" s="247"/>
      <c r="F263" s="247"/>
      <c r="G263" s="247"/>
      <c r="H263" s="248">
        <f>H264</f>
        <v>30</v>
      </c>
      <c r="I263" s="248">
        <f t="shared" ref="I263:J266" si="100">I264</f>
        <v>24.6</v>
      </c>
      <c r="J263" s="248">
        <f t="shared" si="100"/>
        <v>29.200000000000003</v>
      </c>
      <c r="K263" s="148"/>
      <c r="M263" s="271">
        <v>30</v>
      </c>
    </row>
    <row r="264" spans="1:13" ht="75" x14ac:dyDescent="0.25">
      <c r="A264" s="139" t="s">
        <v>310</v>
      </c>
      <c r="B264" s="219" t="s">
        <v>108</v>
      </c>
      <c r="C264" s="139" t="s">
        <v>10</v>
      </c>
      <c r="D264" s="139" t="s">
        <v>107</v>
      </c>
      <c r="E264" s="139" t="s">
        <v>109</v>
      </c>
      <c r="F264" s="139"/>
      <c r="G264" s="139"/>
      <c r="H264" s="68">
        <f>H265</f>
        <v>30</v>
      </c>
      <c r="I264" s="68">
        <f t="shared" si="100"/>
        <v>24.6</v>
      </c>
      <c r="J264" s="68">
        <f t="shared" si="100"/>
        <v>29.200000000000003</v>
      </c>
      <c r="K264" s="148"/>
      <c r="M264" s="67">
        <v>30</v>
      </c>
    </row>
    <row r="265" spans="1:13" ht="37.5" x14ac:dyDescent="0.25">
      <c r="A265" s="139" t="s">
        <v>289</v>
      </c>
      <c r="B265" s="219" t="s">
        <v>46</v>
      </c>
      <c r="C265" s="139" t="s">
        <v>10</v>
      </c>
      <c r="D265" s="139" t="s">
        <v>107</v>
      </c>
      <c r="E265" s="139" t="s">
        <v>109</v>
      </c>
      <c r="F265" s="139" t="s">
        <v>47</v>
      </c>
      <c r="G265" s="139"/>
      <c r="H265" s="68">
        <f>H266</f>
        <v>30</v>
      </c>
      <c r="I265" s="68">
        <f t="shared" si="100"/>
        <v>24.6</v>
      </c>
      <c r="J265" s="68">
        <f t="shared" si="100"/>
        <v>29.200000000000003</v>
      </c>
      <c r="K265" s="148"/>
      <c r="M265" s="67">
        <v>30</v>
      </c>
    </row>
    <row r="266" spans="1:13" ht="56.25" x14ac:dyDescent="0.25">
      <c r="A266" s="139" t="s">
        <v>639</v>
      </c>
      <c r="B266" s="219" t="s">
        <v>507</v>
      </c>
      <c r="C266" s="139" t="s">
        <v>10</v>
      </c>
      <c r="D266" s="139" t="s">
        <v>107</v>
      </c>
      <c r="E266" s="139" t="s">
        <v>109</v>
      </c>
      <c r="F266" s="139" t="s">
        <v>508</v>
      </c>
      <c r="G266" s="139"/>
      <c r="H266" s="68">
        <f>H267</f>
        <v>30</v>
      </c>
      <c r="I266" s="68">
        <f t="shared" si="100"/>
        <v>24.6</v>
      </c>
      <c r="J266" s="68">
        <f t="shared" si="100"/>
        <v>29.200000000000003</v>
      </c>
      <c r="K266" s="148"/>
      <c r="M266" s="67">
        <v>30</v>
      </c>
    </row>
    <row r="267" spans="1:13" ht="56.25" x14ac:dyDescent="0.25">
      <c r="A267" s="139" t="s">
        <v>588</v>
      </c>
      <c r="B267" s="219" t="s">
        <v>527</v>
      </c>
      <c r="C267" s="139" t="s">
        <v>10</v>
      </c>
      <c r="D267" s="139" t="s">
        <v>107</v>
      </c>
      <c r="E267" s="139" t="s">
        <v>109</v>
      </c>
      <c r="F267" s="139" t="s">
        <v>528</v>
      </c>
      <c r="G267" s="139"/>
      <c r="H267" s="68">
        <f>H268+H270+H271</f>
        <v>30</v>
      </c>
      <c r="I267" s="68">
        <f t="shared" ref="I267:J267" si="101">I268+I270+I271</f>
        <v>24.6</v>
      </c>
      <c r="J267" s="68">
        <f t="shared" si="101"/>
        <v>29.200000000000003</v>
      </c>
      <c r="K267" s="148"/>
      <c r="M267" s="67">
        <v>30</v>
      </c>
    </row>
    <row r="268" spans="1:13" x14ac:dyDescent="0.25">
      <c r="A268" s="139" t="s">
        <v>589</v>
      </c>
      <c r="B268" s="219" t="s">
        <v>511</v>
      </c>
      <c r="C268" s="139" t="s">
        <v>10</v>
      </c>
      <c r="D268" s="139" t="s">
        <v>107</v>
      </c>
      <c r="E268" s="139" t="s">
        <v>109</v>
      </c>
      <c r="F268" s="139" t="s">
        <v>528</v>
      </c>
      <c r="G268" s="139" t="s">
        <v>512</v>
      </c>
      <c r="H268" s="68">
        <f>SUM(H269)</f>
        <v>7</v>
      </c>
      <c r="I268" s="68">
        <f t="shared" ref="I268:J268" si="102">SUM(I269)</f>
        <v>4.4000000000000004</v>
      </c>
      <c r="J268" s="68">
        <f t="shared" si="102"/>
        <v>4.8</v>
      </c>
      <c r="K268" s="148"/>
      <c r="M268" s="67">
        <v>7</v>
      </c>
    </row>
    <row r="269" spans="1:13" x14ac:dyDescent="0.25">
      <c r="A269" s="71" t="s">
        <v>590</v>
      </c>
      <c r="B269" s="145" t="s">
        <v>517</v>
      </c>
      <c r="C269" s="71" t="s">
        <v>10</v>
      </c>
      <c r="D269" s="71" t="s">
        <v>107</v>
      </c>
      <c r="E269" s="71" t="s">
        <v>109</v>
      </c>
      <c r="F269" s="71" t="s">
        <v>528</v>
      </c>
      <c r="G269" s="71" t="s">
        <v>518</v>
      </c>
      <c r="H269" s="69">
        <f>7+K269</f>
        <v>7</v>
      </c>
      <c r="I269" s="249">
        <v>4.4000000000000004</v>
      </c>
      <c r="J269" s="249">
        <v>4.8</v>
      </c>
      <c r="K269" s="286"/>
      <c r="M269" s="238">
        <v>7</v>
      </c>
    </row>
    <row r="270" spans="1:13" x14ac:dyDescent="0.25">
      <c r="A270" s="139" t="s">
        <v>699</v>
      </c>
      <c r="B270" s="219" t="s">
        <v>545</v>
      </c>
      <c r="C270" s="139" t="s">
        <v>10</v>
      </c>
      <c r="D270" s="139" t="s">
        <v>107</v>
      </c>
      <c r="E270" s="139" t="s">
        <v>109</v>
      </c>
      <c r="F270" s="139" t="s">
        <v>528</v>
      </c>
      <c r="G270" s="139" t="s">
        <v>839</v>
      </c>
      <c r="H270" s="68">
        <v>20</v>
      </c>
      <c r="I270" s="249">
        <v>15.9</v>
      </c>
      <c r="J270" s="249">
        <v>16.8</v>
      </c>
      <c r="K270" s="148"/>
      <c r="M270" s="67">
        <v>20</v>
      </c>
    </row>
    <row r="271" spans="1:13" x14ac:dyDescent="0.25">
      <c r="A271" s="139" t="s">
        <v>700</v>
      </c>
      <c r="B271" s="219" t="s">
        <v>520</v>
      </c>
      <c r="C271" s="139" t="s">
        <v>10</v>
      </c>
      <c r="D271" s="139" t="s">
        <v>107</v>
      </c>
      <c r="E271" s="139" t="s">
        <v>109</v>
      </c>
      <c r="F271" s="139" t="s">
        <v>528</v>
      </c>
      <c r="G271" s="139" t="s">
        <v>142</v>
      </c>
      <c r="H271" s="68">
        <f>H272</f>
        <v>3</v>
      </c>
      <c r="I271" s="68">
        <f t="shared" ref="I271:J271" si="103">I272</f>
        <v>4.3</v>
      </c>
      <c r="J271" s="68">
        <f t="shared" si="103"/>
        <v>7.6</v>
      </c>
      <c r="K271" s="148"/>
      <c r="M271" s="67">
        <v>3</v>
      </c>
    </row>
    <row r="272" spans="1:13" x14ac:dyDescent="0.25">
      <c r="A272" s="71" t="s">
        <v>701</v>
      </c>
      <c r="B272" s="145" t="s">
        <v>525</v>
      </c>
      <c r="C272" s="71" t="s">
        <v>10</v>
      </c>
      <c r="D272" s="71" t="s">
        <v>107</v>
      </c>
      <c r="E272" s="71" t="s">
        <v>109</v>
      </c>
      <c r="F272" s="71" t="s">
        <v>528</v>
      </c>
      <c r="G272" s="71" t="s">
        <v>526</v>
      </c>
      <c r="H272" s="69">
        <v>3</v>
      </c>
      <c r="I272" s="249">
        <v>4.3</v>
      </c>
      <c r="J272" s="249">
        <v>7.6</v>
      </c>
      <c r="K272" s="148"/>
      <c r="M272" s="238">
        <v>3</v>
      </c>
    </row>
    <row r="273" spans="1:13" x14ac:dyDescent="0.25">
      <c r="A273" s="254" t="s">
        <v>26</v>
      </c>
      <c r="B273" s="373" t="s">
        <v>110</v>
      </c>
      <c r="C273" s="254" t="s">
        <v>10</v>
      </c>
      <c r="D273" s="254" t="s">
        <v>111</v>
      </c>
      <c r="E273" s="254"/>
      <c r="F273" s="254"/>
      <c r="G273" s="254"/>
      <c r="H273" s="380">
        <f>H274</f>
        <v>214.9</v>
      </c>
      <c r="I273" s="380">
        <f t="shared" ref="I273:J273" si="104">I274</f>
        <v>219.29999999999998</v>
      </c>
      <c r="J273" s="380">
        <f t="shared" si="104"/>
        <v>233.5</v>
      </c>
      <c r="K273" s="148"/>
      <c r="M273" s="274">
        <v>214.9</v>
      </c>
    </row>
    <row r="274" spans="1:13" ht="37.5" x14ac:dyDescent="0.25">
      <c r="A274" s="247" t="s">
        <v>205</v>
      </c>
      <c r="B274" s="222" t="s">
        <v>119</v>
      </c>
      <c r="C274" s="247" t="s">
        <v>10</v>
      </c>
      <c r="D274" s="247" t="s">
        <v>120</v>
      </c>
      <c r="E274" s="247"/>
      <c r="F274" s="247"/>
      <c r="G274" s="247"/>
      <c r="H274" s="248">
        <f>H275+H282+H288+H297+H306+H311</f>
        <v>214.9</v>
      </c>
      <c r="I274" s="248">
        <f t="shared" ref="I274:J274" si="105">I275+I282+I288+I297+I306+I311</f>
        <v>219.29999999999998</v>
      </c>
      <c r="J274" s="248">
        <f t="shared" si="105"/>
        <v>233.5</v>
      </c>
      <c r="K274" s="148"/>
      <c r="M274" s="271">
        <v>214.9</v>
      </c>
    </row>
    <row r="275" spans="1:13" ht="93.75" x14ac:dyDescent="0.25">
      <c r="A275" s="139" t="s">
        <v>311</v>
      </c>
      <c r="B275" s="219" t="s">
        <v>117</v>
      </c>
      <c r="C275" s="139" t="s">
        <v>10</v>
      </c>
      <c r="D275" s="139" t="s">
        <v>120</v>
      </c>
      <c r="E275" s="139" t="s">
        <v>118</v>
      </c>
      <c r="F275" s="139"/>
      <c r="G275" s="139"/>
      <c r="H275" s="68">
        <f>H276</f>
        <v>59.9</v>
      </c>
      <c r="I275" s="68">
        <f t="shared" ref="I275:J277" si="106">I276</f>
        <v>66.899999999999991</v>
      </c>
      <c r="J275" s="68">
        <f t="shared" si="106"/>
        <v>64.900000000000006</v>
      </c>
      <c r="K275" s="148"/>
      <c r="M275" s="67">
        <v>59.9</v>
      </c>
    </row>
    <row r="276" spans="1:13" ht="37.5" x14ac:dyDescent="0.25">
      <c r="A276" s="139" t="s">
        <v>290</v>
      </c>
      <c r="B276" s="219" t="s">
        <v>46</v>
      </c>
      <c r="C276" s="139" t="s">
        <v>10</v>
      </c>
      <c r="D276" s="139" t="s">
        <v>120</v>
      </c>
      <c r="E276" s="139" t="s">
        <v>118</v>
      </c>
      <c r="F276" s="139" t="s">
        <v>47</v>
      </c>
      <c r="G276" s="139"/>
      <c r="H276" s="68">
        <f>H277</f>
        <v>59.9</v>
      </c>
      <c r="I276" s="68">
        <f t="shared" si="106"/>
        <v>66.899999999999991</v>
      </c>
      <c r="J276" s="68">
        <f t="shared" si="106"/>
        <v>64.900000000000006</v>
      </c>
      <c r="K276" s="148"/>
      <c r="M276" s="67">
        <v>59.9</v>
      </c>
    </row>
    <row r="277" spans="1:13" ht="56.25" x14ac:dyDescent="0.25">
      <c r="A277" s="139" t="s">
        <v>639</v>
      </c>
      <c r="B277" s="219" t="s">
        <v>507</v>
      </c>
      <c r="C277" s="139" t="s">
        <v>10</v>
      </c>
      <c r="D277" s="139" t="s">
        <v>120</v>
      </c>
      <c r="E277" s="139" t="s">
        <v>118</v>
      </c>
      <c r="F277" s="139" t="s">
        <v>508</v>
      </c>
      <c r="G277" s="139"/>
      <c r="H277" s="68">
        <f>H278</f>
        <v>59.9</v>
      </c>
      <c r="I277" s="68">
        <f t="shared" si="106"/>
        <v>66.899999999999991</v>
      </c>
      <c r="J277" s="68">
        <f t="shared" si="106"/>
        <v>64.900000000000006</v>
      </c>
      <c r="K277" s="148"/>
      <c r="M277" s="67">
        <v>59.9</v>
      </c>
    </row>
    <row r="278" spans="1:13" ht="56.25" x14ac:dyDescent="0.25">
      <c r="A278" s="139" t="s">
        <v>640</v>
      </c>
      <c r="B278" s="219" t="s">
        <v>527</v>
      </c>
      <c r="C278" s="139" t="s">
        <v>10</v>
      </c>
      <c r="D278" s="139" t="s">
        <v>120</v>
      </c>
      <c r="E278" s="139" t="s">
        <v>118</v>
      </c>
      <c r="F278" s="139" t="s">
        <v>528</v>
      </c>
      <c r="G278" s="139"/>
      <c r="H278" s="68">
        <f>H279+H281</f>
        <v>59.9</v>
      </c>
      <c r="I278" s="68">
        <f t="shared" ref="I278:J278" si="107">I279+I281</f>
        <v>66.899999999999991</v>
      </c>
      <c r="J278" s="68">
        <f t="shared" si="107"/>
        <v>64.900000000000006</v>
      </c>
      <c r="K278" s="148"/>
      <c r="M278" s="67">
        <v>59.9</v>
      </c>
    </row>
    <row r="279" spans="1:13" x14ac:dyDescent="0.25">
      <c r="A279" s="139" t="s">
        <v>641</v>
      </c>
      <c r="B279" s="219" t="s">
        <v>511</v>
      </c>
      <c r="C279" s="139" t="s">
        <v>10</v>
      </c>
      <c r="D279" s="139" t="s">
        <v>120</v>
      </c>
      <c r="E279" s="139" t="s">
        <v>118</v>
      </c>
      <c r="F279" s="139" t="s">
        <v>528</v>
      </c>
      <c r="G279" s="139" t="s">
        <v>512</v>
      </c>
      <c r="H279" s="68">
        <f>SUM(H280:H280)</f>
        <v>10</v>
      </c>
      <c r="I279" s="68">
        <f t="shared" ref="I279:J279" si="108">SUM(I280:I280)</f>
        <v>10.6</v>
      </c>
      <c r="J279" s="68">
        <f t="shared" si="108"/>
        <v>8.9</v>
      </c>
      <c r="K279" s="148"/>
      <c r="M279" s="67">
        <v>10</v>
      </c>
    </row>
    <row r="280" spans="1:13" x14ac:dyDescent="0.25">
      <c r="A280" s="71" t="s">
        <v>642</v>
      </c>
      <c r="B280" s="145" t="s">
        <v>517</v>
      </c>
      <c r="C280" s="71" t="s">
        <v>10</v>
      </c>
      <c r="D280" s="139" t="s">
        <v>120</v>
      </c>
      <c r="E280" s="71" t="s">
        <v>118</v>
      </c>
      <c r="F280" s="71" t="s">
        <v>528</v>
      </c>
      <c r="G280" s="71" t="s">
        <v>518</v>
      </c>
      <c r="H280" s="69">
        <v>10</v>
      </c>
      <c r="I280" s="257">
        <v>10.6</v>
      </c>
      <c r="J280" s="257">
        <v>8.9</v>
      </c>
      <c r="K280" s="148"/>
      <c r="M280" s="238">
        <v>10</v>
      </c>
    </row>
    <row r="281" spans="1:13" x14ac:dyDescent="0.25">
      <c r="A281" s="71" t="s">
        <v>702</v>
      </c>
      <c r="B281" s="145" t="s">
        <v>545</v>
      </c>
      <c r="C281" s="71" t="s">
        <v>10</v>
      </c>
      <c r="D281" s="71" t="s">
        <v>120</v>
      </c>
      <c r="E281" s="71" t="s">
        <v>118</v>
      </c>
      <c r="F281" s="71" t="s">
        <v>528</v>
      </c>
      <c r="G281" s="71" t="s">
        <v>839</v>
      </c>
      <c r="H281" s="69">
        <v>49.9</v>
      </c>
      <c r="I281" s="275">
        <v>56.3</v>
      </c>
      <c r="J281" s="275">
        <v>56</v>
      </c>
      <c r="K281" s="148"/>
      <c r="M281" s="238">
        <v>49.9</v>
      </c>
    </row>
    <row r="282" spans="1:13" ht="93.75" x14ac:dyDescent="0.25">
      <c r="A282" s="139" t="s">
        <v>279</v>
      </c>
      <c r="B282" s="219" t="s">
        <v>121</v>
      </c>
      <c r="C282" s="139" t="s">
        <v>10</v>
      </c>
      <c r="D282" s="139" t="s">
        <v>120</v>
      </c>
      <c r="E282" s="139" t="s">
        <v>122</v>
      </c>
      <c r="F282" s="139"/>
      <c r="G282" s="139"/>
      <c r="H282" s="68">
        <f>H283</f>
        <v>10</v>
      </c>
      <c r="I282" s="68">
        <f t="shared" ref="I282:J286" si="109">I283</f>
        <v>10.6</v>
      </c>
      <c r="J282" s="68">
        <f t="shared" si="109"/>
        <v>11.2</v>
      </c>
      <c r="K282" s="148"/>
      <c r="M282" s="67">
        <v>10</v>
      </c>
    </row>
    <row r="283" spans="1:13" ht="37.5" x14ac:dyDescent="0.25">
      <c r="A283" s="139" t="s">
        <v>291</v>
      </c>
      <c r="B283" s="219" t="s">
        <v>46</v>
      </c>
      <c r="C283" s="139" t="s">
        <v>10</v>
      </c>
      <c r="D283" s="139" t="s">
        <v>120</v>
      </c>
      <c r="E283" s="139" t="s">
        <v>122</v>
      </c>
      <c r="F283" s="139" t="s">
        <v>47</v>
      </c>
      <c r="G283" s="139"/>
      <c r="H283" s="68">
        <f>H284</f>
        <v>10</v>
      </c>
      <c r="I283" s="68">
        <f t="shared" si="109"/>
        <v>10.6</v>
      </c>
      <c r="J283" s="68">
        <f t="shared" si="109"/>
        <v>11.2</v>
      </c>
      <c r="K283" s="148"/>
      <c r="M283" s="67">
        <v>10</v>
      </c>
    </row>
    <row r="284" spans="1:13" ht="56.25" x14ac:dyDescent="0.25">
      <c r="A284" s="139" t="s">
        <v>703</v>
      </c>
      <c r="B284" s="360" t="s">
        <v>507</v>
      </c>
      <c r="C284" s="139" t="s">
        <v>10</v>
      </c>
      <c r="D284" s="139" t="s">
        <v>120</v>
      </c>
      <c r="E284" s="139" t="s">
        <v>122</v>
      </c>
      <c r="F284" s="139" t="s">
        <v>508</v>
      </c>
      <c r="G284" s="139"/>
      <c r="H284" s="68">
        <f>H285</f>
        <v>10</v>
      </c>
      <c r="I284" s="68">
        <f t="shared" si="109"/>
        <v>10.6</v>
      </c>
      <c r="J284" s="68">
        <f t="shared" si="109"/>
        <v>11.2</v>
      </c>
      <c r="K284" s="148"/>
      <c r="M284" s="67">
        <v>10</v>
      </c>
    </row>
    <row r="285" spans="1:13" ht="56.25" x14ac:dyDescent="0.25">
      <c r="A285" s="139" t="s">
        <v>704</v>
      </c>
      <c r="B285" s="219" t="s">
        <v>527</v>
      </c>
      <c r="C285" s="139" t="s">
        <v>10</v>
      </c>
      <c r="D285" s="139" t="s">
        <v>120</v>
      </c>
      <c r="E285" s="139" t="s">
        <v>122</v>
      </c>
      <c r="F285" s="139" t="s">
        <v>528</v>
      </c>
      <c r="G285" s="139"/>
      <c r="H285" s="68">
        <f>H286</f>
        <v>10</v>
      </c>
      <c r="I285" s="68">
        <f t="shared" si="109"/>
        <v>10.6</v>
      </c>
      <c r="J285" s="68">
        <f t="shared" si="109"/>
        <v>11.2</v>
      </c>
      <c r="K285" s="148"/>
      <c r="M285" s="67">
        <v>10</v>
      </c>
    </row>
    <row r="286" spans="1:13" x14ac:dyDescent="0.25">
      <c r="A286" s="139" t="s">
        <v>705</v>
      </c>
      <c r="B286" s="219" t="s">
        <v>511</v>
      </c>
      <c r="C286" s="139" t="s">
        <v>10</v>
      </c>
      <c r="D286" s="139" t="s">
        <v>120</v>
      </c>
      <c r="E286" s="139" t="s">
        <v>122</v>
      </c>
      <c r="F286" s="139" t="s">
        <v>528</v>
      </c>
      <c r="G286" s="139" t="s">
        <v>512</v>
      </c>
      <c r="H286" s="68">
        <f>H287</f>
        <v>10</v>
      </c>
      <c r="I286" s="68">
        <f t="shared" si="109"/>
        <v>10.6</v>
      </c>
      <c r="J286" s="68">
        <f t="shared" si="109"/>
        <v>11.2</v>
      </c>
      <c r="K286" s="148"/>
      <c r="M286" s="67">
        <v>10</v>
      </c>
    </row>
    <row r="287" spans="1:13" x14ac:dyDescent="0.25">
      <c r="A287" s="71" t="s">
        <v>706</v>
      </c>
      <c r="B287" s="145" t="s">
        <v>517</v>
      </c>
      <c r="C287" s="71" t="s">
        <v>10</v>
      </c>
      <c r="D287" s="71" t="s">
        <v>120</v>
      </c>
      <c r="E287" s="71" t="s">
        <v>122</v>
      </c>
      <c r="F287" s="71" t="s">
        <v>528</v>
      </c>
      <c r="G287" s="71" t="s">
        <v>518</v>
      </c>
      <c r="H287" s="69">
        <v>10</v>
      </c>
      <c r="I287" s="249">
        <v>10.6</v>
      </c>
      <c r="J287" s="249">
        <v>11.2</v>
      </c>
      <c r="K287" s="148"/>
      <c r="M287" s="238">
        <v>10</v>
      </c>
    </row>
    <row r="288" spans="1:13" x14ac:dyDescent="0.25">
      <c r="A288" s="139" t="s">
        <v>280</v>
      </c>
      <c r="B288" s="364" t="s">
        <v>123</v>
      </c>
      <c r="C288" s="139" t="s">
        <v>10</v>
      </c>
      <c r="D288" s="139" t="s">
        <v>120</v>
      </c>
      <c r="E288" s="139" t="s">
        <v>124</v>
      </c>
      <c r="F288" s="139"/>
      <c r="G288" s="139"/>
      <c r="H288" s="68">
        <f>H289</f>
        <v>65</v>
      </c>
      <c r="I288" s="68">
        <f t="shared" ref="I288:J290" si="110">I289</f>
        <v>53.8</v>
      </c>
      <c r="J288" s="68">
        <f t="shared" si="110"/>
        <v>63.3</v>
      </c>
      <c r="K288" s="148"/>
      <c r="M288" s="67">
        <v>65</v>
      </c>
    </row>
    <row r="289" spans="1:13" ht="37.5" x14ac:dyDescent="0.25">
      <c r="A289" s="139" t="s">
        <v>292</v>
      </c>
      <c r="B289" s="219" t="s">
        <v>46</v>
      </c>
      <c r="C289" s="139" t="s">
        <v>10</v>
      </c>
      <c r="D289" s="139" t="s">
        <v>120</v>
      </c>
      <c r="E289" s="139" t="s">
        <v>124</v>
      </c>
      <c r="F289" s="139" t="s">
        <v>47</v>
      </c>
      <c r="G289" s="139"/>
      <c r="H289" s="68">
        <f>H290</f>
        <v>65</v>
      </c>
      <c r="I289" s="68">
        <f t="shared" si="110"/>
        <v>53.8</v>
      </c>
      <c r="J289" s="68">
        <f t="shared" si="110"/>
        <v>63.3</v>
      </c>
      <c r="K289" s="148"/>
      <c r="M289" s="67">
        <v>65</v>
      </c>
    </row>
    <row r="290" spans="1:13" ht="56.25" x14ac:dyDescent="0.25">
      <c r="A290" s="139" t="s">
        <v>707</v>
      </c>
      <c r="B290" s="360" t="s">
        <v>507</v>
      </c>
      <c r="C290" s="139" t="s">
        <v>10</v>
      </c>
      <c r="D290" s="139" t="s">
        <v>120</v>
      </c>
      <c r="E290" s="139" t="s">
        <v>124</v>
      </c>
      <c r="F290" s="139" t="s">
        <v>508</v>
      </c>
      <c r="G290" s="139"/>
      <c r="H290" s="68">
        <f>H291</f>
        <v>65</v>
      </c>
      <c r="I290" s="68">
        <f t="shared" si="110"/>
        <v>53.8</v>
      </c>
      <c r="J290" s="68">
        <f t="shared" si="110"/>
        <v>63.3</v>
      </c>
      <c r="K290" s="148"/>
      <c r="M290" s="67">
        <v>65</v>
      </c>
    </row>
    <row r="291" spans="1:13" ht="56.25" x14ac:dyDescent="0.25">
      <c r="A291" s="139" t="s">
        <v>708</v>
      </c>
      <c r="B291" s="219" t="s">
        <v>527</v>
      </c>
      <c r="C291" s="139" t="s">
        <v>10</v>
      </c>
      <c r="D291" s="139" t="s">
        <v>120</v>
      </c>
      <c r="E291" s="139" t="s">
        <v>124</v>
      </c>
      <c r="F291" s="139" t="s">
        <v>528</v>
      </c>
      <c r="G291" s="139"/>
      <c r="H291" s="68">
        <f>H292+H294+H295</f>
        <v>65</v>
      </c>
      <c r="I291" s="68">
        <f t="shared" ref="I291:J291" si="111">I292+I294+I295</f>
        <v>53.8</v>
      </c>
      <c r="J291" s="68">
        <f t="shared" si="111"/>
        <v>63.3</v>
      </c>
      <c r="K291" s="148"/>
      <c r="M291" s="67">
        <v>65</v>
      </c>
    </row>
    <row r="292" spans="1:13" x14ac:dyDescent="0.25">
      <c r="A292" s="139" t="s">
        <v>709</v>
      </c>
      <c r="B292" s="219" t="s">
        <v>511</v>
      </c>
      <c r="C292" s="139" t="s">
        <v>10</v>
      </c>
      <c r="D292" s="139" t="s">
        <v>120</v>
      </c>
      <c r="E292" s="139" t="s">
        <v>124</v>
      </c>
      <c r="F292" s="139" t="s">
        <v>528</v>
      </c>
      <c r="G292" s="139" t="s">
        <v>512</v>
      </c>
      <c r="H292" s="68">
        <f>H293</f>
        <v>13</v>
      </c>
      <c r="I292" s="68">
        <f t="shared" ref="I292:J292" si="112">I293</f>
        <v>14</v>
      </c>
      <c r="J292" s="68">
        <f t="shared" si="112"/>
        <v>18.100000000000001</v>
      </c>
      <c r="K292" s="148"/>
      <c r="M292" s="67">
        <v>13</v>
      </c>
    </row>
    <row r="293" spans="1:13" x14ac:dyDescent="0.25">
      <c r="A293" s="71" t="s">
        <v>710</v>
      </c>
      <c r="B293" s="145" t="s">
        <v>517</v>
      </c>
      <c r="C293" s="71" t="s">
        <v>10</v>
      </c>
      <c r="D293" s="71" t="s">
        <v>120</v>
      </c>
      <c r="E293" s="71" t="s">
        <v>124</v>
      </c>
      <c r="F293" s="71" t="s">
        <v>528</v>
      </c>
      <c r="G293" s="71" t="s">
        <v>518</v>
      </c>
      <c r="H293" s="69">
        <v>13</v>
      </c>
      <c r="I293" s="249">
        <v>14</v>
      </c>
      <c r="J293" s="249">
        <v>18.100000000000001</v>
      </c>
      <c r="K293" s="148"/>
      <c r="M293" s="238">
        <v>13</v>
      </c>
    </row>
    <row r="294" spans="1:13" x14ac:dyDescent="0.25">
      <c r="A294" s="71" t="s">
        <v>711</v>
      </c>
      <c r="B294" s="145" t="s">
        <v>545</v>
      </c>
      <c r="C294" s="71" t="s">
        <v>10</v>
      </c>
      <c r="D294" s="71" t="s">
        <v>120</v>
      </c>
      <c r="E294" s="71" t="s">
        <v>124</v>
      </c>
      <c r="F294" s="71" t="s">
        <v>528</v>
      </c>
      <c r="G294" s="71" t="s">
        <v>839</v>
      </c>
      <c r="H294" s="69">
        <v>37</v>
      </c>
      <c r="I294" s="239">
        <v>26.9</v>
      </c>
      <c r="J294" s="239">
        <v>31.7</v>
      </c>
      <c r="K294" s="148"/>
      <c r="M294" s="238">
        <v>37</v>
      </c>
    </row>
    <row r="295" spans="1:13" x14ac:dyDescent="0.25">
      <c r="A295" s="139" t="s">
        <v>712</v>
      </c>
      <c r="B295" s="219" t="s">
        <v>520</v>
      </c>
      <c r="C295" s="139" t="s">
        <v>10</v>
      </c>
      <c r="D295" s="139" t="s">
        <v>120</v>
      </c>
      <c r="E295" s="139" t="s">
        <v>124</v>
      </c>
      <c r="F295" s="139" t="s">
        <v>528</v>
      </c>
      <c r="G295" s="139" t="s">
        <v>142</v>
      </c>
      <c r="H295" s="68">
        <f>H296</f>
        <v>15</v>
      </c>
      <c r="I295" s="68">
        <f t="shared" ref="I295:J295" si="113">I296</f>
        <v>12.9</v>
      </c>
      <c r="J295" s="68">
        <f t="shared" si="113"/>
        <v>13.5</v>
      </c>
      <c r="K295" s="148"/>
      <c r="M295" s="67">
        <v>15</v>
      </c>
    </row>
    <row r="296" spans="1:13" x14ac:dyDescent="0.25">
      <c r="A296" s="71" t="s">
        <v>713</v>
      </c>
      <c r="B296" s="145" t="s">
        <v>525</v>
      </c>
      <c r="C296" s="71" t="s">
        <v>10</v>
      </c>
      <c r="D296" s="71" t="s">
        <v>120</v>
      </c>
      <c r="E296" s="71" t="s">
        <v>124</v>
      </c>
      <c r="F296" s="71" t="s">
        <v>528</v>
      </c>
      <c r="G296" s="71" t="s">
        <v>526</v>
      </c>
      <c r="H296" s="69">
        <v>15</v>
      </c>
      <c r="I296" s="249">
        <v>12.9</v>
      </c>
      <c r="J296" s="249">
        <v>13.5</v>
      </c>
      <c r="K296" s="148"/>
      <c r="M296" s="238">
        <v>15</v>
      </c>
    </row>
    <row r="297" spans="1:13" ht="93.75" x14ac:dyDescent="0.25">
      <c r="A297" s="139" t="s">
        <v>281</v>
      </c>
      <c r="B297" s="219" t="s">
        <v>850</v>
      </c>
      <c r="C297" s="139" t="s">
        <v>10</v>
      </c>
      <c r="D297" s="139" t="s">
        <v>120</v>
      </c>
      <c r="E297" s="139" t="s">
        <v>125</v>
      </c>
      <c r="F297" s="139"/>
      <c r="G297" s="139"/>
      <c r="H297" s="68">
        <f>H298</f>
        <v>45</v>
      </c>
      <c r="I297" s="68">
        <f t="shared" ref="I297:J299" si="114">I298</f>
        <v>51</v>
      </c>
      <c r="J297" s="68">
        <f t="shared" si="114"/>
        <v>55.000000000000007</v>
      </c>
      <c r="K297" s="148"/>
      <c r="M297" s="67">
        <v>45</v>
      </c>
    </row>
    <row r="298" spans="1:13" ht="37.5" x14ac:dyDescent="0.25">
      <c r="A298" s="139" t="s">
        <v>293</v>
      </c>
      <c r="B298" s="219" t="s">
        <v>46</v>
      </c>
      <c r="C298" s="139" t="s">
        <v>10</v>
      </c>
      <c r="D298" s="139" t="s">
        <v>120</v>
      </c>
      <c r="E298" s="139" t="s">
        <v>125</v>
      </c>
      <c r="F298" s="139" t="s">
        <v>47</v>
      </c>
      <c r="G298" s="139"/>
      <c r="H298" s="68">
        <f>H299</f>
        <v>45</v>
      </c>
      <c r="I298" s="68">
        <f t="shared" si="114"/>
        <v>51</v>
      </c>
      <c r="J298" s="68">
        <f t="shared" si="114"/>
        <v>55.000000000000007</v>
      </c>
      <c r="K298" s="148"/>
      <c r="M298" s="67">
        <v>45</v>
      </c>
    </row>
    <row r="299" spans="1:13" ht="56.25" x14ac:dyDescent="0.25">
      <c r="A299" s="139" t="s">
        <v>714</v>
      </c>
      <c r="B299" s="360" t="s">
        <v>507</v>
      </c>
      <c r="C299" s="139" t="s">
        <v>10</v>
      </c>
      <c r="D299" s="139" t="s">
        <v>120</v>
      </c>
      <c r="E299" s="139" t="s">
        <v>125</v>
      </c>
      <c r="F299" s="139" t="s">
        <v>508</v>
      </c>
      <c r="G299" s="139"/>
      <c r="H299" s="68">
        <f>H300</f>
        <v>45</v>
      </c>
      <c r="I299" s="68">
        <f t="shared" si="114"/>
        <v>51</v>
      </c>
      <c r="J299" s="68">
        <f t="shared" si="114"/>
        <v>55.000000000000007</v>
      </c>
      <c r="K299" s="148"/>
      <c r="M299" s="67">
        <v>45</v>
      </c>
    </row>
    <row r="300" spans="1:13" ht="56.25" x14ac:dyDescent="0.25">
      <c r="A300" s="139" t="s">
        <v>715</v>
      </c>
      <c r="B300" s="219" t="s">
        <v>527</v>
      </c>
      <c r="C300" s="139" t="s">
        <v>10</v>
      </c>
      <c r="D300" s="139" t="s">
        <v>120</v>
      </c>
      <c r="E300" s="139" t="s">
        <v>125</v>
      </c>
      <c r="F300" s="139" t="s">
        <v>528</v>
      </c>
      <c r="G300" s="139"/>
      <c r="H300" s="68">
        <f>H301+H303+H304</f>
        <v>45</v>
      </c>
      <c r="I300" s="68">
        <f t="shared" ref="I300:J300" si="115">I301+I303+I304</f>
        <v>51</v>
      </c>
      <c r="J300" s="68">
        <f t="shared" si="115"/>
        <v>55.000000000000007</v>
      </c>
      <c r="K300" s="148"/>
      <c r="M300" s="67">
        <v>45</v>
      </c>
    </row>
    <row r="301" spans="1:13" x14ac:dyDescent="0.25">
      <c r="A301" s="139" t="s">
        <v>716</v>
      </c>
      <c r="B301" s="219" t="s">
        <v>511</v>
      </c>
      <c r="C301" s="139" t="s">
        <v>10</v>
      </c>
      <c r="D301" s="139" t="s">
        <v>120</v>
      </c>
      <c r="E301" s="139" t="s">
        <v>125</v>
      </c>
      <c r="F301" s="139" t="s">
        <v>528</v>
      </c>
      <c r="G301" s="139" t="s">
        <v>512</v>
      </c>
      <c r="H301" s="68">
        <f>H302</f>
        <v>15</v>
      </c>
      <c r="I301" s="68">
        <f t="shared" ref="I301:J301" si="116">I302</f>
        <v>15.8</v>
      </c>
      <c r="J301" s="68">
        <f t="shared" si="116"/>
        <v>16.8</v>
      </c>
      <c r="K301" s="148"/>
      <c r="M301" s="67">
        <v>15</v>
      </c>
    </row>
    <row r="302" spans="1:13" x14ac:dyDescent="0.25">
      <c r="A302" s="71" t="s">
        <v>717</v>
      </c>
      <c r="B302" s="145" t="s">
        <v>517</v>
      </c>
      <c r="C302" s="71" t="s">
        <v>10</v>
      </c>
      <c r="D302" s="71" t="s">
        <v>120</v>
      </c>
      <c r="E302" s="71" t="s">
        <v>125</v>
      </c>
      <c r="F302" s="71" t="s">
        <v>528</v>
      </c>
      <c r="G302" s="71" t="s">
        <v>518</v>
      </c>
      <c r="H302" s="69">
        <v>15</v>
      </c>
      <c r="I302" s="239">
        <v>15.8</v>
      </c>
      <c r="J302" s="239">
        <v>16.8</v>
      </c>
      <c r="K302" s="148"/>
      <c r="M302" s="238">
        <v>15</v>
      </c>
    </row>
    <row r="303" spans="1:13" x14ac:dyDescent="0.25">
      <c r="A303" s="71" t="s">
        <v>718</v>
      </c>
      <c r="B303" s="145" t="s">
        <v>545</v>
      </c>
      <c r="C303" s="71" t="s">
        <v>10</v>
      </c>
      <c r="D303" s="71" t="s">
        <v>120</v>
      </c>
      <c r="E303" s="71" t="s">
        <v>125</v>
      </c>
      <c r="F303" s="71" t="s">
        <v>528</v>
      </c>
      <c r="G303" s="71" t="s">
        <v>839</v>
      </c>
      <c r="H303" s="69">
        <v>25</v>
      </c>
      <c r="I303" s="239">
        <v>30.9</v>
      </c>
      <c r="J303" s="239">
        <v>32.6</v>
      </c>
      <c r="K303" s="148"/>
      <c r="M303" s="238">
        <v>25</v>
      </c>
    </row>
    <row r="304" spans="1:13" x14ac:dyDescent="0.25">
      <c r="A304" s="139" t="s">
        <v>719</v>
      </c>
      <c r="B304" s="219" t="s">
        <v>520</v>
      </c>
      <c r="C304" s="139" t="s">
        <v>10</v>
      </c>
      <c r="D304" s="139" t="s">
        <v>120</v>
      </c>
      <c r="E304" s="139" t="s">
        <v>125</v>
      </c>
      <c r="F304" s="139" t="s">
        <v>528</v>
      </c>
      <c r="G304" s="139" t="s">
        <v>142</v>
      </c>
      <c r="H304" s="68">
        <f>H305</f>
        <v>5</v>
      </c>
      <c r="I304" s="68">
        <f t="shared" ref="I304:J304" si="117">I305</f>
        <v>4.3</v>
      </c>
      <c r="J304" s="68">
        <f t="shared" si="117"/>
        <v>5.6</v>
      </c>
      <c r="K304" s="148"/>
      <c r="M304" s="67">
        <v>5</v>
      </c>
    </row>
    <row r="305" spans="1:13" x14ac:dyDescent="0.25">
      <c r="A305" s="71" t="s">
        <v>720</v>
      </c>
      <c r="B305" s="145" t="s">
        <v>525</v>
      </c>
      <c r="C305" s="71" t="s">
        <v>10</v>
      </c>
      <c r="D305" s="71" t="s">
        <v>120</v>
      </c>
      <c r="E305" s="71" t="s">
        <v>125</v>
      </c>
      <c r="F305" s="71" t="s">
        <v>528</v>
      </c>
      <c r="G305" s="71" t="s">
        <v>526</v>
      </c>
      <c r="H305" s="69">
        <v>5</v>
      </c>
      <c r="I305" s="249">
        <v>4.3</v>
      </c>
      <c r="J305" s="249">
        <v>5.6</v>
      </c>
      <c r="K305" s="148"/>
      <c r="M305" s="238">
        <v>5</v>
      </c>
    </row>
    <row r="306" spans="1:13" ht="151.5" customHeight="1" x14ac:dyDescent="0.25">
      <c r="A306" s="139" t="s">
        <v>282</v>
      </c>
      <c r="B306" s="140" t="s">
        <v>76</v>
      </c>
      <c r="C306" s="139" t="s">
        <v>10</v>
      </c>
      <c r="D306" s="139" t="s">
        <v>120</v>
      </c>
      <c r="E306" s="139" t="s">
        <v>77</v>
      </c>
      <c r="F306" s="139"/>
      <c r="G306" s="139"/>
      <c r="H306" s="68">
        <f>H307</f>
        <v>10</v>
      </c>
      <c r="I306" s="68">
        <f t="shared" ref="I306:J309" si="118">I307</f>
        <v>10.6</v>
      </c>
      <c r="J306" s="68">
        <f t="shared" si="118"/>
        <v>11.2</v>
      </c>
      <c r="K306" s="148"/>
      <c r="M306" s="67">
        <v>10</v>
      </c>
    </row>
    <row r="307" spans="1:13" ht="37.5" x14ac:dyDescent="0.25">
      <c r="A307" s="139" t="s">
        <v>294</v>
      </c>
      <c r="B307" s="219" t="s">
        <v>46</v>
      </c>
      <c r="C307" s="139" t="s">
        <v>10</v>
      </c>
      <c r="D307" s="139" t="s">
        <v>120</v>
      </c>
      <c r="E307" s="139" t="s">
        <v>77</v>
      </c>
      <c r="F307" s="139" t="s">
        <v>47</v>
      </c>
      <c r="G307" s="139"/>
      <c r="H307" s="68">
        <f>H308</f>
        <v>10</v>
      </c>
      <c r="I307" s="68">
        <f t="shared" si="118"/>
        <v>10.6</v>
      </c>
      <c r="J307" s="68">
        <f t="shared" si="118"/>
        <v>11.2</v>
      </c>
      <c r="K307" s="148"/>
      <c r="M307" s="67">
        <v>10</v>
      </c>
    </row>
    <row r="308" spans="1:13" ht="56.25" x14ac:dyDescent="0.25">
      <c r="A308" s="139" t="s">
        <v>721</v>
      </c>
      <c r="B308" s="219" t="s">
        <v>507</v>
      </c>
      <c r="C308" s="139" t="s">
        <v>10</v>
      </c>
      <c r="D308" s="139" t="s">
        <v>120</v>
      </c>
      <c r="E308" s="139" t="s">
        <v>77</v>
      </c>
      <c r="F308" s="139" t="s">
        <v>508</v>
      </c>
      <c r="G308" s="139"/>
      <c r="H308" s="68">
        <f>H309</f>
        <v>10</v>
      </c>
      <c r="I308" s="68">
        <f t="shared" si="118"/>
        <v>10.6</v>
      </c>
      <c r="J308" s="68">
        <f t="shared" si="118"/>
        <v>11.2</v>
      </c>
      <c r="K308" s="148"/>
      <c r="M308" s="67">
        <v>10</v>
      </c>
    </row>
    <row r="309" spans="1:13" ht="56.25" x14ac:dyDescent="0.25">
      <c r="A309" s="139" t="s">
        <v>722</v>
      </c>
      <c r="B309" s="219" t="s">
        <v>527</v>
      </c>
      <c r="C309" s="139" t="s">
        <v>10</v>
      </c>
      <c r="D309" s="139" t="s">
        <v>120</v>
      </c>
      <c r="E309" s="139" t="s">
        <v>77</v>
      </c>
      <c r="F309" s="139" t="s">
        <v>528</v>
      </c>
      <c r="G309" s="139"/>
      <c r="H309" s="68">
        <f>H310</f>
        <v>10</v>
      </c>
      <c r="I309" s="68">
        <f t="shared" si="118"/>
        <v>10.6</v>
      </c>
      <c r="J309" s="68">
        <f t="shared" si="118"/>
        <v>11.2</v>
      </c>
      <c r="K309" s="148"/>
      <c r="M309" s="67">
        <v>10</v>
      </c>
    </row>
    <row r="310" spans="1:13" x14ac:dyDescent="0.25">
      <c r="A310" s="139" t="s">
        <v>723</v>
      </c>
      <c r="B310" s="219" t="s">
        <v>545</v>
      </c>
      <c r="C310" s="139" t="s">
        <v>10</v>
      </c>
      <c r="D310" s="139" t="s">
        <v>120</v>
      </c>
      <c r="E310" s="139" t="s">
        <v>77</v>
      </c>
      <c r="F310" s="139" t="s">
        <v>528</v>
      </c>
      <c r="G310" s="139" t="s">
        <v>839</v>
      </c>
      <c r="H310" s="68">
        <v>10</v>
      </c>
      <c r="I310" s="249">
        <v>10.6</v>
      </c>
      <c r="J310" s="249">
        <v>11.2</v>
      </c>
      <c r="K310" s="148"/>
      <c r="M310" s="67">
        <v>10</v>
      </c>
    </row>
    <row r="311" spans="1:13" ht="187.5" x14ac:dyDescent="0.25">
      <c r="A311" s="139" t="s">
        <v>283</v>
      </c>
      <c r="B311" s="219" t="s">
        <v>440</v>
      </c>
      <c r="C311" s="139" t="s">
        <v>10</v>
      </c>
      <c r="D311" s="139" t="s">
        <v>120</v>
      </c>
      <c r="E311" s="139" t="s">
        <v>439</v>
      </c>
      <c r="F311" s="139"/>
      <c r="G311" s="71"/>
      <c r="H311" s="68">
        <f>H312</f>
        <v>25</v>
      </c>
      <c r="I311" s="68">
        <f t="shared" ref="I311:J313" si="119">I312</f>
        <v>26.4</v>
      </c>
      <c r="J311" s="68">
        <f t="shared" si="119"/>
        <v>27.9</v>
      </c>
      <c r="K311" s="148"/>
      <c r="M311" s="67">
        <v>25</v>
      </c>
    </row>
    <row r="312" spans="1:13" ht="37.5" x14ac:dyDescent="0.25">
      <c r="A312" s="139" t="s">
        <v>295</v>
      </c>
      <c r="B312" s="219" t="s">
        <v>46</v>
      </c>
      <c r="C312" s="139" t="s">
        <v>10</v>
      </c>
      <c r="D312" s="139" t="s">
        <v>120</v>
      </c>
      <c r="E312" s="139" t="s">
        <v>439</v>
      </c>
      <c r="F312" s="139" t="s">
        <v>47</v>
      </c>
      <c r="G312" s="71"/>
      <c r="H312" s="68">
        <f>H313</f>
        <v>25</v>
      </c>
      <c r="I312" s="68">
        <f t="shared" si="119"/>
        <v>26.4</v>
      </c>
      <c r="J312" s="68">
        <f t="shared" si="119"/>
        <v>27.9</v>
      </c>
      <c r="K312" s="148"/>
      <c r="M312" s="67">
        <v>25</v>
      </c>
    </row>
    <row r="313" spans="1:13" ht="56.25" x14ac:dyDescent="0.25">
      <c r="A313" s="139" t="s">
        <v>724</v>
      </c>
      <c r="B313" s="219" t="s">
        <v>507</v>
      </c>
      <c r="C313" s="139" t="s">
        <v>10</v>
      </c>
      <c r="D313" s="139" t="s">
        <v>120</v>
      </c>
      <c r="E313" s="139" t="s">
        <v>439</v>
      </c>
      <c r="F313" s="139" t="s">
        <v>508</v>
      </c>
      <c r="G313" s="71"/>
      <c r="H313" s="68">
        <f>H314</f>
        <v>25</v>
      </c>
      <c r="I313" s="68">
        <f t="shared" si="119"/>
        <v>26.4</v>
      </c>
      <c r="J313" s="68">
        <f t="shared" si="119"/>
        <v>27.9</v>
      </c>
      <c r="K313" s="148"/>
      <c r="M313" s="67">
        <v>25</v>
      </c>
    </row>
    <row r="314" spans="1:13" ht="56.25" x14ac:dyDescent="0.25">
      <c r="A314" s="139" t="s">
        <v>725</v>
      </c>
      <c r="B314" s="219" t="s">
        <v>527</v>
      </c>
      <c r="C314" s="139" t="s">
        <v>10</v>
      </c>
      <c r="D314" s="139" t="s">
        <v>120</v>
      </c>
      <c r="E314" s="139" t="s">
        <v>439</v>
      </c>
      <c r="F314" s="139" t="s">
        <v>528</v>
      </c>
      <c r="G314" s="71"/>
      <c r="H314" s="68">
        <f>H315+H317</f>
        <v>25</v>
      </c>
      <c r="I314" s="68">
        <f t="shared" ref="I314:J314" si="120">I315+I317</f>
        <v>26.4</v>
      </c>
      <c r="J314" s="68">
        <f t="shared" si="120"/>
        <v>27.9</v>
      </c>
      <c r="K314" s="148"/>
      <c r="M314" s="67">
        <v>25</v>
      </c>
    </row>
    <row r="315" spans="1:13" x14ac:dyDescent="0.25">
      <c r="A315" s="139" t="s">
        <v>726</v>
      </c>
      <c r="B315" s="219" t="s">
        <v>511</v>
      </c>
      <c r="C315" s="139" t="s">
        <v>10</v>
      </c>
      <c r="D315" s="139" t="s">
        <v>120</v>
      </c>
      <c r="E315" s="139" t="s">
        <v>439</v>
      </c>
      <c r="F315" s="139" t="s">
        <v>528</v>
      </c>
      <c r="G315" s="139" t="s">
        <v>512</v>
      </c>
      <c r="H315" s="68">
        <f>H316</f>
        <v>15</v>
      </c>
      <c r="I315" s="68">
        <f t="shared" ref="I315:J315" si="121">I316</f>
        <v>15.8</v>
      </c>
      <c r="J315" s="68">
        <f t="shared" si="121"/>
        <v>16.7</v>
      </c>
      <c r="K315" s="148"/>
      <c r="M315" s="67">
        <v>15</v>
      </c>
    </row>
    <row r="316" spans="1:13" x14ac:dyDescent="0.25">
      <c r="A316" s="71" t="s">
        <v>727</v>
      </c>
      <c r="B316" s="145" t="s">
        <v>517</v>
      </c>
      <c r="C316" s="139" t="s">
        <v>10</v>
      </c>
      <c r="D316" s="139" t="s">
        <v>120</v>
      </c>
      <c r="E316" s="139" t="s">
        <v>439</v>
      </c>
      <c r="F316" s="71" t="s">
        <v>528</v>
      </c>
      <c r="G316" s="71" t="s">
        <v>518</v>
      </c>
      <c r="H316" s="69">
        <v>15</v>
      </c>
      <c r="I316" s="249">
        <v>15.8</v>
      </c>
      <c r="J316" s="249">
        <v>16.7</v>
      </c>
      <c r="K316" s="148"/>
      <c r="M316" s="238">
        <v>15</v>
      </c>
    </row>
    <row r="317" spans="1:13" x14ac:dyDescent="0.25">
      <c r="A317" s="139" t="s">
        <v>728</v>
      </c>
      <c r="B317" s="219" t="s">
        <v>545</v>
      </c>
      <c r="C317" s="139" t="s">
        <v>10</v>
      </c>
      <c r="D317" s="139" t="s">
        <v>120</v>
      </c>
      <c r="E317" s="139" t="s">
        <v>439</v>
      </c>
      <c r="F317" s="139" t="s">
        <v>528</v>
      </c>
      <c r="G317" s="139" t="s">
        <v>839</v>
      </c>
      <c r="H317" s="68">
        <v>10</v>
      </c>
      <c r="I317" s="249">
        <v>10.6</v>
      </c>
      <c r="J317" s="249">
        <v>11.2</v>
      </c>
      <c r="K317" s="148"/>
      <c r="M317" s="67">
        <v>10</v>
      </c>
    </row>
    <row r="318" spans="1:13" ht="20.25" x14ac:dyDescent="0.25">
      <c r="A318" s="372">
        <v>5</v>
      </c>
      <c r="B318" s="361" t="s">
        <v>126</v>
      </c>
      <c r="C318" s="372" t="s">
        <v>10</v>
      </c>
      <c r="D318" s="372" t="s">
        <v>127</v>
      </c>
      <c r="E318" s="372"/>
      <c r="F318" s="372"/>
      <c r="G318" s="372"/>
      <c r="H318" s="246">
        <f>H319+H337</f>
        <v>8509.4</v>
      </c>
      <c r="I318" s="246">
        <f t="shared" ref="I318:J318" si="122">I319+I337</f>
        <v>8956</v>
      </c>
      <c r="J318" s="246">
        <f t="shared" si="122"/>
        <v>9656.9</v>
      </c>
      <c r="K318" s="148"/>
      <c r="M318" s="269">
        <v>8509.4</v>
      </c>
    </row>
    <row r="319" spans="1:13" x14ac:dyDescent="0.25">
      <c r="A319" s="247" t="s">
        <v>867</v>
      </c>
      <c r="B319" s="222" t="s">
        <v>128</v>
      </c>
      <c r="C319" s="247" t="s">
        <v>10</v>
      </c>
      <c r="D319" s="247" t="s">
        <v>129</v>
      </c>
      <c r="E319" s="247"/>
      <c r="F319" s="247"/>
      <c r="G319" s="247"/>
      <c r="H319" s="248">
        <f>H320+H330</f>
        <v>7074.5</v>
      </c>
      <c r="I319" s="248">
        <f t="shared" ref="I319:J319" si="123">I320+I330</f>
        <v>7247.2</v>
      </c>
      <c r="J319" s="248">
        <f t="shared" si="123"/>
        <v>8143.3</v>
      </c>
      <c r="K319" s="148"/>
      <c r="M319" s="271">
        <v>7074.5</v>
      </c>
    </row>
    <row r="320" spans="1:13" ht="57.75" customHeight="1" x14ac:dyDescent="0.25">
      <c r="A320" s="139" t="s">
        <v>868</v>
      </c>
      <c r="B320" s="219" t="s">
        <v>130</v>
      </c>
      <c r="C320" s="139" t="s">
        <v>10</v>
      </c>
      <c r="D320" s="139" t="s">
        <v>131</v>
      </c>
      <c r="E320" s="139" t="s">
        <v>132</v>
      </c>
      <c r="F320" s="139"/>
      <c r="G320" s="139"/>
      <c r="H320" s="68">
        <f>H321</f>
        <v>5301</v>
      </c>
      <c r="I320" s="68">
        <f t="shared" ref="I320:J322" si="124">I321</f>
        <v>5343.9</v>
      </c>
      <c r="J320" s="68">
        <f t="shared" si="124"/>
        <v>6122.8</v>
      </c>
      <c r="K320" s="287" t="s">
        <v>851</v>
      </c>
      <c r="M320" s="67">
        <v>5301</v>
      </c>
    </row>
    <row r="321" spans="1:13" ht="37.5" x14ac:dyDescent="0.25">
      <c r="A321" s="139" t="s">
        <v>297</v>
      </c>
      <c r="B321" s="219" t="s">
        <v>46</v>
      </c>
      <c r="C321" s="139" t="s">
        <v>10</v>
      </c>
      <c r="D321" s="139" t="s">
        <v>129</v>
      </c>
      <c r="E321" s="139" t="s">
        <v>132</v>
      </c>
      <c r="F321" s="139" t="s">
        <v>47</v>
      </c>
      <c r="G321" s="139"/>
      <c r="H321" s="68">
        <f>H322</f>
        <v>5301</v>
      </c>
      <c r="I321" s="68">
        <f t="shared" si="124"/>
        <v>5343.9</v>
      </c>
      <c r="J321" s="68">
        <f t="shared" si="124"/>
        <v>6122.8</v>
      </c>
      <c r="K321" s="148"/>
      <c r="M321" s="67">
        <v>5301</v>
      </c>
    </row>
    <row r="322" spans="1:13" ht="56.25" x14ac:dyDescent="0.25">
      <c r="A322" s="139" t="s">
        <v>644</v>
      </c>
      <c r="B322" s="358" t="s">
        <v>507</v>
      </c>
      <c r="C322" s="139" t="s">
        <v>10</v>
      </c>
      <c r="D322" s="139" t="s">
        <v>129</v>
      </c>
      <c r="E322" s="139" t="s">
        <v>132</v>
      </c>
      <c r="F322" s="139" t="s">
        <v>508</v>
      </c>
      <c r="G322" s="139"/>
      <c r="H322" s="68">
        <f>H323</f>
        <v>5301</v>
      </c>
      <c r="I322" s="68">
        <f t="shared" si="124"/>
        <v>5343.9</v>
      </c>
      <c r="J322" s="68">
        <f t="shared" si="124"/>
        <v>6122.8</v>
      </c>
      <c r="K322" s="148"/>
      <c r="M322" s="67">
        <v>5301</v>
      </c>
    </row>
    <row r="323" spans="1:13" ht="56.25" x14ac:dyDescent="0.25">
      <c r="A323" s="139" t="s">
        <v>646</v>
      </c>
      <c r="B323" s="219" t="s">
        <v>527</v>
      </c>
      <c r="C323" s="139" t="s">
        <v>10</v>
      </c>
      <c r="D323" s="139" t="s">
        <v>129</v>
      </c>
      <c r="E323" s="139" t="s">
        <v>132</v>
      </c>
      <c r="F323" s="139" t="s">
        <v>528</v>
      </c>
      <c r="G323" s="139"/>
      <c r="H323" s="68">
        <f>H324+H327+H328</f>
        <v>5301</v>
      </c>
      <c r="I323" s="68">
        <f t="shared" ref="I323:J323" si="125">I324+I327+I328</f>
        <v>5343.9</v>
      </c>
      <c r="J323" s="68">
        <f t="shared" si="125"/>
        <v>6122.8</v>
      </c>
      <c r="K323" s="148"/>
      <c r="M323" s="67">
        <v>5301</v>
      </c>
    </row>
    <row r="324" spans="1:13" x14ac:dyDescent="0.25">
      <c r="A324" s="139" t="s">
        <v>649</v>
      </c>
      <c r="B324" s="219" t="s">
        <v>511</v>
      </c>
      <c r="C324" s="139" t="s">
        <v>10</v>
      </c>
      <c r="D324" s="139" t="s">
        <v>129</v>
      </c>
      <c r="E324" s="139" t="s">
        <v>132</v>
      </c>
      <c r="F324" s="139" t="s">
        <v>528</v>
      </c>
      <c r="G324" s="139" t="s">
        <v>512</v>
      </c>
      <c r="H324" s="68">
        <f>SUM(H325:H326)</f>
        <v>553.70000000000005</v>
      </c>
      <c r="I324" s="68">
        <f t="shared" ref="I324:J324" si="126">SUM(I325:I326)</f>
        <v>1009.6999999999999</v>
      </c>
      <c r="J324" s="68">
        <f t="shared" si="126"/>
        <v>1158.8</v>
      </c>
      <c r="K324" s="148"/>
      <c r="M324" s="67">
        <v>553.70000000000005</v>
      </c>
    </row>
    <row r="325" spans="1:13" x14ac:dyDescent="0.25">
      <c r="A325" s="71" t="s">
        <v>652</v>
      </c>
      <c r="B325" s="145" t="s">
        <v>531</v>
      </c>
      <c r="C325" s="71" t="s">
        <v>10</v>
      </c>
      <c r="D325" s="71" t="s">
        <v>129</v>
      </c>
      <c r="E325" s="71" t="s">
        <v>132</v>
      </c>
      <c r="F325" s="71" t="s">
        <v>528</v>
      </c>
      <c r="G325" s="71" t="s">
        <v>532</v>
      </c>
      <c r="H325" s="69">
        <v>31.5</v>
      </c>
      <c r="I325" s="91">
        <v>33.4</v>
      </c>
      <c r="J325" s="91">
        <v>35.200000000000003</v>
      </c>
      <c r="K325" s="148"/>
      <c r="M325" s="238">
        <v>31.5</v>
      </c>
    </row>
    <row r="326" spans="1:13" x14ac:dyDescent="0.25">
      <c r="A326" s="71" t="s">
        <v>865</v>
      </c>
      <c r="B326" s="145" t="s">
        <v>517</v>
      </c>
      <c r="C326" s="71" t="s">
        <v>10</v>
      </c>
      <c r="D326" s="71" t="s">
        <v>129</v>
      </c>
      <c r="E326" s="71" t="s">
        <v>132</v>
      </c>
      <c r="F326" s="71" t="s">
        <v>528</v>
      </c>
      <c r="G326" s="71" t="s">
        <v>518</v>
      </c>
      <c r="H326" s="69">
        <v>522.20000000000005</v>
      </c>
      <c r="I326" s="91">
        <v>976.3</v>
      </c>
      <c r="J326" s="91">
        <v>1123.5999999999999</v>
      </c>
      <c r="K326" s="148"/>
      <c r="M326" s="238">
        <v>522.20000000000005</v>
      </c>
    </row>
    <row r="327" spans="1:13" x14ac:dyDescent="0.25">
      <c r="A327" s="71" t="s">
        <v>736</v>
      </c>
      <c r="B327" s="145" t="s">
        <v>545</v>
      </c>
      <c r="C327" s="71" t="s">
        <v>10</v>
      </c>
      <c r="D327" s="71" t="s">
        <v>129</v>
      </c>
      <c r="E327" s="71" t="s">
        <v>132</v>
      </c>
      <c r="F327" s="71" t="s">
        <v>528</v>
      </c>
      <c r="G327" s="71" t="s">
        <v>839</v>
      </c>
      <c r="H327" s="69">
        <f>4426.7+K327</f>
        <v>4726.7</v>
      </c>
      <c r="I327" s="91">
        <v>4312.3999999999996</v>
      </c>
      <c r="J327" s="91">
        <v>4941</v>
      </c>
      <c r="K327" s="232">
        <v>300</v>
      </c>
      <c r="M327" s="238">
        <v>4726.7</v>
      </c>
    </row>
    <row r="328" spans="1:13" x14ac:dyDescent="0.25">
      <c r="A328" s="139" t="s">
        <v>737</v>
      </c>
      <c r="B328" s="219" t="s">
        <v>520</v>
      </c>
      <c r="C328" s="139" t="s">
        <v>10</v>
      </c>
      <c r="D328" s="139" t="s">
        <v>129</v>
      </c>
      <c r="E328" s="139" t="s">
        <v>132</v>
      </c>
      <c r="F328" s="139" t="s">
        <v>528</v>
      </c>
      <c r="G328" s="139" t="s">
        <v>142</v>
      </c>
      <c r="H328" s="68">
        <f>H329</f>
        <v>20.6</v>
      </c>
      <c r="I328" s="68">
        <f t="shared" ref="I328:J328" si="127">I329</f>
        <v>21.8</v>
      </c>
      <c r="J328" s="68">
        <f t="shared" si="127"/>
        <v>23</v>
      </c>
      <c r="K328" s="148"/>
      <c r="M328" s="67">
        <v>20.6</v>
      </c>
    </row>
    <row r="329" spans="1:13" x14ac:dyDescent="0.25">
      <c r="A329" s="71" t="s">
        <v>738</v>
      </c>
      <c r="B329" s="145" t="s">
        <v>525</v>
      </c>
      <c r="C329" s="71" t="s">
        <v>10</v>
      </c>
      <c r="D329" s="71" t="s">
        <v>129</v>
      </c>
      <c r="E329" s="71" t="s">
        <v>132</v>
      </c>
      <c r="F329" s="71" t="s">
        <v>528</v>
      </c>
      <c r="G329" s="71" t="s">
        <v>526</v>
      </c>
      <c r="H329" s="69">
        <v>20.6</v>
      </c>
      <c r="I329" s="91">
        <v>21.8</v>
      </c>
      <c r="J329" s="91">
        <v>23</v>
      </c>
      <c r="K329" s="148"/>
      <c r="M329" s="238">
        <v>20.6</v>
      </c>
    </row>
    <row r="330" spans="1:13" ht="93.75" x14ac:dyDescent="0.25">
      <c r="A330" s="139" t="s">
        <v>869</v>
      </c>
      <c r="B330" s="365" t="s">
        <v>179</v>
      </c>
      <c r="C330" s="139" t="s">
        <v>10</v>
      </c>
      <c r="D330" s="139" t="s">
        <v>131</v>
      </c>
      <c r="E330" s="139" t="s">
        <v>252</v>
      </c>
      <c r="F330" s="139"/>
      <c r="G330" s="139"/>
      <c r="H330" s="68">
        <f>H331</f>
        <v>1773.5</v>
      </c>
      <c r="I330" s="68">
        <f t="shared" ref="I330:J332" si="128">I331</f>
        <v>1903.3000000000002</v>
      </c>
      <c r="J330" s="68">
        <f t="shared" si="128"/>
        <v>2020.5</v>
      </c>
      <c r="K330" s="148"/>
      <c r="M330" s="67">
        <v>1773.5</v>
      </c>
    </row>
    <row r="331" spans="1:13" ht="37.5" x14ac:dyDescent="0.25">
      <c r="A331" s="139" t="s">
        <v>656</v>
      </c>
      <c r="B331" s="219" t="s">
        <v>46</v>
      </c>
      <c r="C331" s="139" t="s">
        <v>10</v>
      </c>
      <c r="D331" s="139" t="s">
        <v>131</v>
      </c>
      <c r="E331" s="139" t="s">
        <v>252</v>
      </c>
      <c r="F331" s="139" t="s">
        <v>47</v>
      </c>
      <c r="G331" s="139"/>
      <c r="H331" s="68">
        <f>H332</f>
        <v>1773.5</v>
      </c>
      <c r="I331" s="68">
        <f t="shared" si="128"/>
        <v>1903.3000000000002</v>
      </c>
      <c r="J331" s="68">
        <f t="shared" si="128"/>
        <v>2020.5</v>
      </c>
      <c r="K331" s="148"/>
      <c r="M331" s="67">
        <v>1773.5</v>
      </c>
    </row>
    <row r="332" spans="1:13" ht="56.25" x14ac:dyDescent="0.25">
      <c r="A332" s="139" t="s">
        <v>657</v>
      </c>
      <c r="B332" s="358" t="s">
        <v>507</v>
      </c>
      <c r="C332" s="139" t="s">
        <v>10</v>
      </c>
      <c r="D332" s="139" t="s">
        <v>131</v>
      </c>
      <c r="E332" s="139" t="s">
        <v>252</v>
      </c>
      <c r="F332" s="139" t="s">
        <v>508</v>
      </c>
      <c r="G332" s="139"/>
      <c r="H332" s="68">
        <f>H333</f>
        <v>1773.5</v>
      </c>
      <c r="I332" s="68">
        <f t="shared" si="128"/>
        <v>1903.3000000000002</v>
      </c>
      <c r="J332" s="68">
        <f t="shared" si="128"/>
        <v>2020.5</v>
      </c>
      <c r="K332" s="148"/>
      <c r="M332" s="67">
        <v>1773.5</v>
      </c>
    </row>
    <row r="333" spans="1:13" ht="56.25" x14ac:dyDescent="0.25">
      <c r="A333" s="139" t="s">
        <v>658</v>
      </c>
      <c r="B333" s="219" t="s">
        <v>527</v>
      </c>
      <c r="C333" s="139" t="s">
        <v>10</v>
      </c>
      <c r="D333" s="139" t="s">
        <v>131</v>
      </c>
      <c r="E333" s="139" t="s">
        <v>252</v>
      </c>
      <c r="F333" s="139" t="s">
        <v>528</v>
      </c>
      <c r="G333" s="139"/>
      <c r="H333" s="68">
        <f>H334+H336</f>
        <v>1773.5</v>
      </c>
      <c r="I333" s="68">
        <f t="shared" ref="I333:J333" si="129">I334+I336</f>
        <v>1903.3000000000002</v>
      </c>
      <c r="J333" s="68">
        <f t="shared" si="129"/>
        <v>2020.5</v>
      </c>
      <c r="K333" s="148"/>
      <c r="M333" s="68">
        <v>1773.5</v>
      </c>
    </row>
    <row r="334" spans="1:13" x14ac:dyDescent="0.25">
      <c r="A334" s="139" t="s">
        <v>659</v>
      </c>
      <c r="B334" s="219" t="s">
        <v>511</v>
      </c>
      <c r="C334" s="139" t="s">
        <v>10</v>
      </c>
      <c r="D334" s="139" t="s">
        <v>131</v>
      </c>
      <c r="E334" s="139" t="s">
        <v>252</v>
      </c>
      <c r="F334" s="139" t="s">
        <v>528</v>
      </c>
      <c r="G334" s="139" t="s">
        <v>512</v>
      </c>
      <c r="H334" s="68">
        <f>H335</f>
        <v>587.5</v>
      </c>
      <c r="I334" s="68">
        <f t="shared" ref="I334:J334" si="130">I335</f>
        <v>642.6</v>
      </c>
      <c r="J334" s="68">
        <f t="shared" si="130"/>
        <v>685.2</v>
      </c>
      <c r="K334" s="148"/>
      <c r="M334" s="68">
        <v>587.5</v>
      </c>
    </row>
    <row r="335" spans="1:13" x14ac:dyDescent="0.25">
      <c r="A335" s="71" t="s">
        <v>661</v>
      </c>
      <c r="B335" s="145" t="s">
        <v>517</v>
      </c>
      <c r="C335" s="71" t="s">
        <v>10</v>
      </c>
      <c r="D335" s="71" t="s">
        <v>131</v>
      </c>
      <c r="E335" s="71" t="s">
        <v>252</v>
      </c>
      <c r="F335" s="71" t="s">
        <v>528</v>
      </c>
      <c r="G335" s="71" t="s">
        <v>518</v>
      </c>
      <c r="H335" s="69">
        <v>587.5</v>
      </c>
      <c r="I335" s="91">
        <v>642.6</v>
      </c>
      <c r="J335" s="91">
        <v>685.2</v>
      </c>
      <c r="K335" s="148"/>
      <c r="M335" s="69">
        <v>587.5</v>
      </c>
    </row>
    <row r="336" spans="1:13" x14ac:dyDescent="0.25">
      <c r="A336" s="71" t="s">
        <v>866</v>
      </c>
      <c r="B336" s="145" t="s">
        <v>545</v>
      </c>
      <c r="C336" s="71" t="s">
        <v>10</v>
      </c>
      <c r="D336" s="71" t="s">
        <v>131</v>
      </c>
      <c r="E336" s="71" t="s">
        <v>252</v>
      </c>
      <c r="F336" s="71" t="s">
        <v>528</v>
      </c>
      <c r="G336" s="71" t="s">
        <v>839</v>
      </c>
      <c r="H336" s="69">
        <v>1186</v>
      </c>
      <c r="I336" s="91">
        <v>1260.7</v>
      </c>
      <c r="J336" s="91">
        <v>1335.3</v>
      </c>
      <c r="K336" s="148"/>
      <c r="M336" s="69">
        <v>1186</v>
      </c>
    </row>
    <row r="337" spans="1:21" ht="37.5" x14ac:dyDescent="0.25">
      <c r="A337" s="247" t="s">
        <v>870</v>
      </c>
      <c r="B337" s="222" t="s">
        <v>133</v>
      </c>
      <c r="C337" s="247" t="s">
        <v>10</v>
      </c>
      <c r="D337" s="247" t="s">
        <v>134</v>
      </c>
      <c r="E337" s="247"/>
      <c r="F337" s="247"/>
      <c r="G337" s="247"/>
      <c r="H337" s="248">
        <f t="shared" ref="H337:J340" si="131">H338</f>
        <v>1434.9</v>
      </c>
      <c r="I337" s="248">
        <f t="shared" si="131"/>
        <v>1708.8000000000002</v>
      </c>
      <c r="J337" s="248">
        <f t="shared" si="131"/>
        <v>1513.6</v>
      </c>
      <c r="K337" s="148"/>
      <c r="M337" s="271">
        <v>1434.9</v>
      </c>
    </row>
    <row r="338" spans="1:21" ht="75" x14ac:dyDescent="0.25">
      <c r="A338" s="381" t="s">
        <v>880</v>
      </c>
      <c r="B338" s="219" t="s">
        <v>135</v>
      </c>
      <c r="C338" s="139" t="s">
        <v>10</v>
      </c>
      <c r="D338" s="139" t="s">
        <v>134</v>
      </c>
      <c r="E338" s="139" t="s">
        <v>136</v>
      </c>
      <c r="F338" s="139"/>
      <c r="G338" s="139"/>
      <c r="H338" s="68">
        <f t="shared" si="131"/>
        <v>1434.9</v>
      </c>
      <c r="I338" s="68">
        <f t="shared" si="131"/>
        <v>1708.8000000000002</v>
      </c>
      <c r="J338" s="68">
        <f t="shared" si="131"/>
        <v>1513.6</v>
      </c>
      <c r="K338" s="148"/>
      <c r="M338" s="67">
        <v>1434.9</v>
      </c>
      <c r="U338" s="307"/>
    </row>
    <row r="339" spans="1:21" ht="37.5" x14ac:dyDescent="0.25">
      <c r="A339" s="139" t="s">
        <v>871</v>
      </c>
      <c r="B339" s="219" t="s">
        <v>46</v>
      </c>
      <c r="C339" s="139" t="s">
        <v>10</v>
      </c>
      <c r="D339" s="139" t="s">
        <v>134</v>
      </c>
      <c r="E339" s="139" t="s">
        <v>136</v>
      </c>
      <c r="F339" s="139" t="s">
        <v>47</v>
      </c>
      <c r="G339" s="139"/>
      <c r="H339" s="68">
        <f t="shared" si="131"/>
        <v>1434.9</v>
      </c>
      <c r="I339" s="68">
        <f t="shared" si="131"/>
        <v>1708.8000000000002</v>
      </c>
      <c r="J339" s="68">
        <f t="shared" si="131"/>
        <v>1513.6</v>
      </c>
      <c r="K339" s="148"/>
      <c r="M339" s="67">
        <v>1434.9</v>
      </c>
    </row>
    <row r="340" spans="1:21" ht="56.25" x14ac:dyDescent="0.25">
      <c r="A340" s="139" t="s">
        <v>872</v>
      </c>
      <c r="B340" s="358" t="s">
        <v>507</v>
      </c>
      <c r="C340" s="139" t="s">
        <v>10</v>
      </c>
      <c r="D340" s="139" t="s">
        <v>134</v>
      </c>
      <c r="E340" s="139" t="s">
        <v>136</v>
      </c>
      <c r="F340" s="139" t="s">
        <v>508</v>
      </c>
      <c r="G340" s="139"/>
      <c r="H340" s="68">
        <f t="shared" si="131"/>
        <v>1434.9</v>
      </c>
      <c r="I340" s="68">
        <f t="shared" si="131"/>
        <v>1708.8000000000002</v>
      </c>
      <c r="J340" s="68">
        <f t="shared" si="131"/>
        <v>1513.6</v>
      </c>
      <c r="K340" s="148"/>
      <c r="M340" s="67">
        <v>1434.9</v>
      </c>
    </row>
    <row r="341" spans="1:21" ht="56.25" x14ac:dyDescent="0.25">
      <c r="A341" s="139" t="s">
        <v>873</v>
      </c>
      <c r="B341" s="219" t="s">
        <v>527</v>
      </c>
      <c r="C341" s="139" t="s">
        <v>10</v>
      </c>
      <c r="D341" s="139" t="s">
        <v>134</v>
      </c>
      <c r="E341" s="139" t="s">
        <v>136</v>
      </c>
      <c r="F341" s="139" t="s">
        <v>528</v>
      </c>
      <c r="G341" s="139"/>
      <c r="H341" s="68">
        <f>H342+H345+H346</f>
        <v>1434.9</v>
      </c>
      <c r="I341" s="68">
        <f t="shared" ref="I341:J341" si="132">I342+I345+I346</f>
        <v>1708.8000000000002</v>
      </c>
      <c r="J341" s="68">
        <f t="shared" si="132"/>
        <v>1513.6</v>
      </c>
      <c r="K341" s="148"/>
      <c r="M341" s="67">
        <v>1434.9</v>
      </c>
    </row>
    <row r="342" spans="1:21" x14ac:dyDescent="0.25">
      <c r="A342" s="139" t="s">
        <v>874</v>
      </c>
      <c r="B342" s="219" t="s">
        <v>511</v>
      </c>
      <c r="C342" s="139" t="s">
        <v>10</v>
      </c>
      <c r="D342" s="139" t="s">
        <v>134</v>
      </c>
      <c r="E342" s="139" t="s">
        <v>136</v>
      </c>
      <c r="F342" s="139" t="s">
        <v>528</v>
      </c>
      <c r="G342" s="139" t="s">
        <v>512</v>
      </c>
      <c r="H342" s="68">
        <f>SUM(H343:H344)</f>
        <v>237</v>
      </c>
      <c r="I342" s="68">
        <f t="shared" ref="I342:J342" si="133">SUM(I343:I344)</f>
        <v>521.6</v>
      </c>
      <c r="J342" s="68">
        <f t="shared" si="133"/>
        <v>144.30000000000001</v>
      </c>
      <c r="K342" s="148"/>
      <c r="M342" s="67">
        <v>226</v>
      </c>
    </row>
    <row r="343" spans="1:21" x14ac:dyDescent="0.25">
      <c r="A343" s="71" t="s">
        <v>875</v>
      </c>
      <c r="B343" s="145" t="s">
        <v>531</v>
      </c>
      <c r="C343" s="71" t="s">
        <v>10</v>
      </c>
      <c r="D343" s="71" t="s">
        <v>134</v>
      </c>
      <c r="E343" s="71" t="s">
        <v>136</v>
      </c>
      <c r="F343" s="71" t="s">
        <v>528</v>
      </c>
      <c r="G343" s="71" t="s">
        <v>532</v>
      </c>
      <c r="H343" s="69">
        <v>80</v>
      </c>
      <c r="I343" s="91">
        <v>100</v>
      </c>
      <c r="J343" s="91">
        <v>0</v>
      </c>
      <c r="K343" s="148"/>
      <c r="M343" s="238">
        <v>80</v>
      </c>
    </row>
    <row r="344" spans="1:21" x14ac:dyDescent="0.25">
      <c r="A344" s="71" t="s">
        <v>876</v>
      </c>
      <c r="B344" s="145" t="s">
        <v>517</v>
      </c>
      <c r="C344" s="71" t="s">
        <v>10</v>
      </c>
      <c r="D344" s="71" t="s">
        <v>134</v>
      </c>
      <c r="E344" s="71" t="s">
        <v>136</v>
      </c>
      <c r="F344" s="71" t="s">
        <v>528</v>
      </c>
      <c r="G344" s="71" t="s">
        <v>518</v>
      </c>
      <c r="H344" s="69">
        <v>157</v>
      </c>
      <c r="I344" s="91">
        <v>421.6</v>
      </c>
      <c r="J344" s="91">
        <v>144.30000000000001</v>
      </c>
      <c r="K344" s="286" t="s">
        <v>851</v>
      </c>
      <c r="L344" s="309">
        <f>H344-M344</f>
        <v>11</v>
      </c>
      <c r="M344" s="238">
        <v>146</v>
      </c>
    </row>
    <row r="345" spans="1:21" x14ac:dyDescent="0.25">
      <c r="A345" s="71" t="s">
        <v>877</v>
      </c>
      <c r="B345" s="145" t="s">
        <v>545</v>
      </c>
      <c r="C345" s="71" t="s">
        <v>10</v>
      </c>
      <c r="D345" s="71" t="s">
        <v>134</v>
      </c>
      <c r="E345" s="71" t="s">
        <v>136</v>
      </c>
      <c r="F345" s="71" t="s">
        <v>528</v>
      </c>
      <c r="G345" s="71" t="s">
        <v>839</v>
      </c>
      <c r="H345" s="69">
        <v>1192.9000000000001</v>
      </c>
      <c r="I345" s="91">
        <v>1181.8</v>
      </c>
      <c r="J345" s="91">
        <v>1363.6</v>
      </c>
      <c r="K345" s="286" t="s">
        <v>851</v>
      </c>
      <c r="L345" s="309">
        <f>H345-M345</f>
        <v>-11</v>
      </c>
      <c r="M345" s="238">
        <v>1203.9000000000001</v>
      </c>
    </row>
    <row r="346" spans="1:21" x14ac:dyDescent="0.25">
      <c r="A346" s="139" t="s">
        <v>878</v>
      </c>
      <c r="B346" s="219" t="s">
        <v>520</v>
      </c>
      <c r="C346" s="139" t="s">
        <v>10</v>
      </c>
      <c r="D346" s="139" t="s">
        <v>134</v>
      </c>
      <c r="E346" s="139" t="s">
        <v>136</v>
      </c>
      <c r="F346" s="139" t="s">
        <v>528</v>
      </c>
      <c r="G346" s="139" t="s">
        <v>142</v>
      </c>
      <c r="H346" s="68">
        <f>H347</f>
        <v>5</v>
      </c>
      <c r="I346" s="68">
        <f t="shared" ref="I346:J346" si="134">I347</f>
        <v>5.4</v>
      </c>
      <c r="J346" s="68">
        <f t="shared" si="134"/>
        <v>5.7</v>
      </c>
      <c r="K346" s="148"/>
      <c r="M346" s="67">
        <v>5</v>
      </c>
    </row>
    <row r="347" spans="1:21" x14ac:dyDescent="0.25">
      <c r="A347" s="71" t="s">
        <v>879</v>
      </c>
      <c r="B347" s="145" t="s">
        <v>525</v>
      </c>
      <c r="C347" s="71" t="s">
        <v>10</v>
      </c>
      <c r="D347" s="71" t="s">
        <v>134</v>
      </c>
      <c r="E347" s="71" t="s">
        <v>136</v>
      </c>
      <c r="F347" s="71" t="s">
        <v>528</v>
      </c>
      <c r="G347" s="71" t="s">
        <v>526</v>
      </c>
      <c r="H347" s="69">
        <v>5</v>
      </c>
      <c r="I347" s="250">
        <v>5.4</v>
      </c>
      <c r="J347" s="250">
        <v>5.7</v>
      </c>
      <c r="K347" s="148"/>
      <c r="M347" s="238">
        <v>5</v>
      </c>
    </row>
    <row r="348" spans="1:21" x14ac:dyDescent="0.25">
      <c r="A348" s="254">
        <v>6</v>
      </c>
      <c r="B348" s="366" t="s">
        <v>177</v>
      </c>
      <c r="C348" s="254" t="s">
        <v>10</v>
      </c>
      <c r="D348" s="254" t="s">
        <v>173</v>
      </c>
      <c r="E348" s="254"/>
      <c r="F348" s="254"/>
      <c r="G348" s="254"/>
      <c r="H348" s="380">
        <f>H349</f>
        <v>40</v>
      </c>
      <c r="I348" s="380">
        <f t="shared" ref="I348:J352" si="135">I349</f>
        <v>58.7</v>
      </c>
      <c r="J348" s="380">
        <f t="shared" si="135"/>
        <v>64.900000000000006</v>
      </c>
      <c r="K348" s="148"/>
      <c r="M348" s="274">
        <v>40</v>
      </c>
    </row>
    <row r="349" spans="1:21" x14ac:dyDescent="0.25">
      <c r="A349" s="382" t="s">
        <v>881</v>
      </c>
      <c r="B349" s="367" t="s">
        <v>178</v>
      </c>
      <c r="C349" s="247" t="s">
        <v>10</v>
      </c>
      <c r="D349" s="247" t="s">
        <v>174</v>
      </c>
      <c r="E349" s="247"/>
      <c r="F349" s="247"/>
      <c r="G349" s="383"/>
      <c r="H349" s="248">
        <f>H350</f>
        <v>40</v>
      </c>
      <c r="I349" s="248">
        <f t="shared" si="135"/>
        <v>58.7</v>
      </c>
      <c r="J349" s="248">
        <f t="shared" si="135"/>
        <v>64.900000000000006</v>
      </c>
      <c r="K349" s="148"/>
      <c r="M349" s="271">
        <v>40</v>
      </c>
    </row>
    <row r="350" spans="1:21" ht="147" customHeight="1" x14ac:dyDescent="0.25">
      <c r="A350" s="381" t="s">
        <v>882</v>
      </c>
      <c r="B350" s="368" t="s">
        <v>176</v>
      </c>
      <c r="C350" s="139" t="s">
        <v>10</v>
      </c>
      <c r="D350" s="139" t="s">
        <v>174</v>
      </c>
      <c r="E350" s="139" t="s">
        <v>175</v>
      </c>
      <c r="F350" s="139"/>
      <c r="G350" s="139"/>
      <c r="H350" s="68">
        <f>H351</f>
        <v>40</v>
      </c>
      <c r="I350" s="68">
        <f t="shared" si="135"/>
        <v>58.7</v>
      </c>
      <c r="J350" s="68">
        <f t="shared" si="135"/>
        <v>64.900000000000006</v>
      </c>
      <c r="K350" s="148"/>
      <c r="M350" s="67">
        <v>40</v>
      </c>
    </row>
    <row r="351" spans="1:21" ht="37.5" x14ac:dyDescent="0.25">
      <c r="A351" s="139" t="s">
        <v>298</v>
      </c>
      <c r="B351" s="219" t="s">
        <v>46</v>
      </c>
      <c r="C351" s="139" t="s">
        <v>10</v>
      </c>
      <c r="D351" s="139" t="s">
        <v>174</v>
      </c>
      <c r="E351" s="139" t="s">
        <v>175</v>
      </c>
      <c r="F351" s="139" t="s">
        <v>47</v>
      </c>
      <c r="G351" s="139"/>
      <c r="H351" s="68">
        <f>H352</f>
        <v>40</v>
      </c>
      <c r="I351" s="68">
        <f t="shared" si="135"/>
        <v>58.7</v>
      </c>
      <c r="J351" s="68">
        <f t="shared" si="135"/>
        <v>64.900000000000006</v>
      </c>
      <c r="K351" s="148"/>
      <c r="M351" s="67">
        <v>40</v>
      </c>
    </row>
    <row r="352" spans="1:21" ht="56.25" x14ac:dyDescent="0.25">
      <c r="A352" s="139" t="s">
        <v>729</v>
      </c>
      <c r="B352" s="360" t="s">
        <v>507</v>
      </c>
      <c r="C352" s="139" t="s">
        <v>10</v>
      </c>
      <c r="D352" s="139" t="s">
        <v>174</v>
      </c>
      <c r="E352" s="139" t="s">
        <v>175</v>
      </c>
      <c r="F352" s="139" t="s">
        <v>508</v>
      </c>
      <c r="G352" s="71"/>
      <c r="H352" s="68">
        <f>H353</f>
        <v>40</v>
      </c>
      <c r="I352" s="68">
        <f t="shared" si="135"/>
        <v>58.7</v>
      </c>
      <c r="J352" s="68">
        <f t="shared" si="135"/>
        <v>64.900000000000006</v>
      </c>
      <c r="K352" s="148"/>
      <c r="M352" s="67">
        <v>40</v>
      </c>
    </row>
    <row r="353" spans="1:13" ht="56.25" x14ac:dyDescent="0.25">
      <c r="A353" s="139" t="s">
        <v>730</v>
      </c>
      <c r="B353" s="219" t="s">
        <v>527</v>
      </c>
      <c r="C353" s="139" t="s">
        <v>10</v>
      </c>
      <c r="D353" s="139" t="s">
        <v>174</v>
      </c>
      <c r="E353" s="139" t="s">
        <v>175</v>
      </c>
      <c r="F353" s="139" t="s">
        <v>528</v>
      </c>
      <c r="G353" s="71"/>
      <c r="H353" s="68">
        <f>H354+H356+H357</f>
        <v>40</v>
      </c>
      <c r="I353" s="68">
        <f t="shared" ref="I353:J353" si="136">I354+I356+I357</f>
        <v>58.7</v>
      </c>
      <c r="J353" s="68">
        <f t="shared" si="136"/>
        <v>64.900000000000006</v>
      </c>
      <c r="K353" s="148"/>
      <c r="M353" s="67">
        <v>40</v>
      </c>
    </row>
    <row r="354" spans="1:13" x14ac:dyDescent="0.25">
      <c r="A354" s="139" t="s">
        <v>731</v>
      </c>
      <c r="B354" s="219" t="s">
        <v>511</v>
      </c>
      <c r="C354" s="139" t="s">
        <v>10</v>
      </c>
      <c r="D354" s="139" t="s">
        <v>174</v>
      </c>
      <c r="E354" s="139" t="s">
        <v>175</v>
      </c>
      <c r="F354" s="139" t="s">
        <v>528</v>
      </c>
      <c r="G354" s="139" t="s">
        <v>512</v>
      </c>
      <c r="H354" s="68">
        <f>H355</f>
        <v>2.8</v>
      </c>
      <c r="I354" s="68">
        <f t="shared" ref="I354:J354" si="137">I355</f>
        <v>20</v>
      </c>
      <c r="J354" s="68">
        <f t="shared" si="137"/>
        <v>6.2</v>
      </c>
      <c r="K354" s="148"/>
      <c r="M354" s="67">
        <v>2.8</v>
      </c>
    </row>
    <row r="355" spans="1:13" x14ac:dyDescent="0.25">
      <c r="A355" s="139" t="s">
        <v>732</v>
      </c>
      <c r="B355" s="145" t="s">
        <v>517</v>
      </c>
      <c r="C355" s="71" t="s">
        <v>10</v>
      </c>
      <c r="D355" s="71" t="s">
        <v>174</v>
      </c>
      <c r="E355" s="71" t="s">
        <v>175</v>
      </c>
      <c r="F355" s="71" t="s">
        <v>528</v>
      </c>
      <c r="G355" s="71" t="s">
        <v>518</v>
      </c>
      <c r="H355" s="69">
        <v>2.8</v>
      </c>
      <c r="I355" s="251">
        <v>20</v>
      </c>
      <c r="J355" s="251">
        <v>6.2</v>
      </c>
      <c r="K355" s="148"/>
      <c r="M355" s="238">
        <v>2.8</v>
      </c>
    </row>
    <row r="356" spans="1:13" x14ac:dyDescent="0.25">
      <c r="A356" s="71" t="s">
        <v>733</v>
      </c>
      <c r="B356" s="145" t="s">
        <v>545</v>
      </c>
      <c r="C356" s="71" t="s">
        <v>10</v>
      </c>
      <c r="D356" s="71" t="s">
        <v>174</v>
      </c>
      <c r="E356" s="71" t="s">
        <v>175</v>
      </c>
      <c r="F356" s="71" t="s">
        <v>528</v>
      </c>
      <c r="G356" s="71" t="s">
        <v>839</v>
      </c>
      <c r="H356" s="69">
        <v>31.1</v>
      </c>
      <c r="I356" s="251">
        <v>32.200000000000003</v>
      </c>
      <c r="J356" s="251">
        <v>52</v>
      </c>
      <c r="K356" s="148"/>
      <c r="M356" s="238">
        <v>31.1</v>
      </c>
    </row>
    <row r="357" spans="1:13" x14ac:dyDescent="0.25">
      <c r="A357" s="139" t="s">
        <v>734</v>
      </c>
      <c r="B357" s="219" t="s">
        <v>520</v>
      </c>
      <c r="C357" s="139" t="s">
        <v>10</v>
      </c>
      <c r="D357" s="139" t="s">
        <v>174</v>
      </c>
      <c r="E357" s="139" t="s">
        <v>175</v>
      </c>
      <c r="F357" s="139" t="s">
        <v>528</v>
      </c>
      <c r="G357" s="139" t="s">
        <v>142</v>
      </c>
      <c r="H357" s="68">
        <f>H358</f>
        <v>6.1</v>
      </c>
      <c r="I357" s="231">
        <f t="shared" ref="I357:J357" si="138">I358</f>
        <v>6.5</v>
      </c>
      <c r="J357" s="231">
        <f t="shared" si="138"/>
        <v>6.7</v>
      </c>
      <c r="K357" s="148"/>
      <c r="M357" s="67">
        <v>6.1</v>
      </c>
    </row>
    <row r="358" spans="1:13" x14ac:dyDescent="0.25">
      <c r="A358" s="71" t="s">
        <v>735</v>
      </c>
      <c r="B358" s="145" t="s">
        <v>525</v>
      </c>
      <c r="C358" s="71" t="s">
        <v>10</v>
      </c>
      <c r="D358" s="71" t="s">
        <v>174</v>
      </c>
      <c r="E358" s="71" t="s">
        <v>175</v>
      </c>
      <c r="F358" s="71" t="s">
        <v>528</v>
      </c>
      <c r="G358" s="71" t="s">
        <v>526</v>
      </c>
      <c r="H358" s="69">
        <v>6.1</v>
      </c>
      <c r="I358" s="251">
        <v>6.5</v>
      </c>
      <c r="J358" s="251">
        <v>6.7</v>
      </c>
      <c r="K358" s="148"/>
      <c r="M358" s="238">
        <v>6.1</v>
      </c>
    </row>
    <row r="359" spans="1:13" ht="81" x14ac:dyDescent="0.25">
      <c r="A359" s="243" t="s">
        <v>739</v>
      </c>
      <c r="B359" s="221" t="s">
        <v>150</v>
      </c>
      <c r="C359" s="244" t="s">
        <v>151</v>
      </c>
      <c r="D359" s="244"/>
      <c r="E359" s="244"/>
      <c r="F359" s="244"/>
      <c r="G359" s="244"/>
      <c r="H359" s="245">
        <f>H360+H430</f>
        <v>11145.8</v>
      </c>
      <c r="I359" s="245">
        <f t="shared" ref="I359:J359" si="139">I360+I430</f>
        <v>11060.000000000002</v>
      </c>
      <c r="J359" s="245">
        <f t="shared" si="139"/>
        <v>11513.600000000002</v>
      </c>
      <c r="K359" s="287" t="s">
        <v>851</v>
      </c>
      <c r="M359" s="276">
        <v>11145.8</v>
      </c>
    </row>
    <row r="360" spans="1:13" ht="20.25" x14ac:dyDescent="0.25">
      <c r="A360" s="372" t="s">
        <v>30</v>
      </c>
      <c r="B360" s="361" t="s">
        <v>31</v>
      </c>
      <c r="C360" s="372" t="s">
        <v>151</v>
      </c>
      <c r="D360" s="372" t="s">
        <v>32</v>
      </c>
      <c r="E360" s="372"/>
      <c r="F360" s="372"/>
      <c r="G360" s="372"/>
      <c r="H360" s="246">
        <f>H361+H371+H418</f>
        <v>9102.5</v>
      </c>
      <c r="I360" s="380">
        <f t="shared" ref="I360:J360" si="140">I361+I371+I418</f>
        <v>8467.1000000000022</v>
      </c>
      <c r="J360" s="380">
        <f t="shared" si="140"/>
        <v>8783.3000000000011</v>
      </c>
      <c r="K360" s="287" t="s">
        <v>883</v>
      </c>
      <c r="M360" s="269">
        <v>9102.5</v>
      </c>
    </row>
    <row r="361" spans="1:13" ht="56.25" x14ac:dyDescent="0.25">
      <c r="A361" s="247" t="s">
        <v>0</v>
      </c>
      <c r="B361" s="222" t="s">
        <v>152</v>
      </c>
      <c r="C361" s="247" t="s">
        <v>151</v>
      </c>
      <c r="D361" s="247" t="s">
        <v>153</v>
      </c>
      <c r="E361" s="247"/>
      <c r="F361" s="247"/>
      <c r="G361" s="247"/>
      <c r="H361" s="248">
        <f>H362</f>
        <v>1117.7</v>
      </c>
      <c r="I361" s="248">
        <f t="shared" ref="I361:J363" si="141">I362</f>
        <v>1015.6</v>
      </c>
      <c r="J361" s="248">
        <f t="shared" si="141"/>
        <v>1046.8</v>
      </c>
      <c r="K361" s="148"/>
      <c r="M361" s="248">
        <v>1117.7</v>
      </c>
    </row>
    <row r="362" spans="1:13" ht="37.5" x14ac:dyDescent="0.25">
      <c r="A362" s="139" t="s">
        <v>1</v>
      </c>
      <c r="B362" s="219" t="s">
        <v>154</v>
      </c>
      <c r="C362" s="139" t="s">
        <v>151</v>
      </c>
      <c r="D362" s="139" t="s">
        <v>153</v>
      </c>
      <c r="E362" s="139" t="s">
        <v>155</v>
      </c>
      <c r="F362" s="139"/>
      <c r="G362" s="139"/>
      <c r="H362" s="68">
        <f>H363</f>
        <v>1117.7</v>
      </c>
      <c r="I362" s="68">
        <f t="shared" si="141"/>
        <v>1015.6</v>
      </c>
      <c r="J362" s="68">
        <f t="shared" si="141"/>
        <v>1046.8</v>
      </c>
      <c r="K362" s="148"/>
      <c r="M362" s="67">
        <v>1117.7</v>
      </c>
    </row>
    <row r="363" spans="1:13" ht="93.75" x14ac:dyDescent="0.25">
      <c r="A363" s="139" t="s">
        <v>2</v>
      </c>
      <c r="B363" s="219" t="s">
        <v>39</v>
      </c>
      <c r="C363" s="139" t="s">
        <v>151</v>
      </c>
      <c r="D363" s="139" t="s">
        <v>153</v>
      </c>
      <c r="E363" s="139" t="s">
        <v>155</v>
      </c>
      <c r="F363" s="139" t="s">
        <v>40</v>
      </c>
      <c r="G363" s="139"/>
      <c r="H363" s="68">
        <f>H364</f>
        <v>1117.7</v>
      </c>
      <c r="I363" s="68">
        <f t="shared" si="141"/>
        <v>1015.6</v>
      </c>
      <c r="J363" s="68">
        <f t="shared" si="141"/>
        <v>1046.8</v>
      </c>
      <c r="K363" s="148"/>
      <c r="M363" s="68">
        <v>1117.7</v>
      </c>
    </row>
    <row r="364" spans="1:13" ht="37.5" x14ac:dyDescent="0.25">
      <c r="A364" s="139" t="s">
        <v>325</v>
      </c>
      <c r="B364" s="384" t="s">
        <v>480</v>
      </c>
      <c r="C364" s="139" t="s">
        <v>151</v>
      </c>
      <c r="D364" s="139" t="s">
        <v>153</v>
      </c>
      <c r="E364" s="139" t="s">
        <v>155</v>
      </c>
      <c r="F364" s="258" t="s">
        <v>481</v>
      </c>
      <c r="G364" s="258"/>
      <c r="H364" s="68">
        <f>H365+H368</f>
        <v>1117.7</v>
      </c>
      <c r="I364" s="68">
        <f t="shared" ref="I364:J364" si="142">I365+I368</f>
        <v>1015.6</v>
      </c>
      <c r="J364" s="68">
        <f t="shared" si="142"/>
        <v>1046.8</v>
      </c>
      <c r="K364" s="148"/>
      <c r="M364" s="68">
        <v>1117.7</v>
      </c>
    </row>
    <row r="365" spans="1:13" ht="56.25" x14ac:dyDescent="0.25">
      <c r="A365" s="139" t="s">
        <v>482</v>
      </c>
      <c r="B365" s="219" t="s">
        <v>483</v>
      </c>
      <c r="C365" s="139" t="s">
        <v>151</v>
      </c>
      <c r="D365" s="139" t="s">
        <v>153</v>
      </c>
      <c r="E365" s="139" t="s">
        <v>155</v>
      </c>
      <c r="F365" s="258" t="s">
        <v>484</v>
      </c>
      <c r="G365" s="258"/>
      <c r="H365" s="68">
        <f>H366</f>
        <v>858.4</v>
      </c>
      <c r="I365" s="231">
        <f t="shared" ref="I365:J365" si="143">I366</f>
        <v>780</v>
      </c>
      <c r="J365" s="231">
        <f t="shared" si="143"/>
        <v>780</v>
      </c>
      <c r="K365" s="148"/>
      <c r="M365" s="68">
        <v>858.4</v>
      </c>
    </row>
    <row r="366" spans="1:13" ht="37.5" x14ac:dyDescent="0.25">
      <c r="A366" s="139" t="s">
        <v>485</v>
      </c>
      <c r="B366" s="219" t="s">
        <v>486</v>
      </c>
      <c r="C366" s="139" t="s">
        <v>151</v>
      </c>
      <c r="D366" s="139" t="s">
        <v>153</v>
      </c>
      <c r="E366" s="139" t="s">
        <v>155</v>
      </c>
      <c r="F366" s="258" t="s">
        <v>484</v>
      </c>
      <c r="G366" s="258" t="s">
        <v>487</v>
      </c>
      <c r="H366" s="68">
        <f>SUM(H367:H367)</f>
        <v>858.4</v>
      </c>
      <c r="I366" s="231">
        <f t="shared" ref="I366:J366" si="144">SUM(I367:I367)</f>
        <v>780</v>
      </c>
      <c r="J366" s="231">
        <f t="shared" si="144"/>
        <v>780</v>
      </c>
      <c r="K366" s="148"/>
      <c r="M366" s="68">
        <v>858.4</v>
      </c>
    </row>
    <row r="367" spans="1:13" x14ac:dyDescent="0.25">
      <c r="A367" s="71" t="s">
        <v>488</v>
      </c>
      <c r="B367" s="145" t="s">
        <v>489</v>
      </c>
      <c r="C367" s="71" t="s">
        <v>151</v>
      </c>
      <c r="D367" s="71" t="s">
        <v>153</v>
      </c>
      <c r="E367" s="71" t="s">
        <v>155</v>
      </c>
      <c r="F367" s="71" t="s">
        <v>484</v>
      </c>
      <c r="G367" s="71" t="s">
        <v>490</v>
      </c>
      <c r="H367" s="69">
        <f>780+78.4</f>
        <v>858.4</v>
      </c>
      <c r="I367" s="251">
        <v>780</v>
      </c>
      <c r="J367" s="251">
        <v>780</v>
      </c>
      <c r="K367" s="148"/>
      <c r="M367" s="69">
        <v>858.4</v>
      </c>
    </row>
    <row r="368" spans="1:13" ht="75" x14ac:dyDescent="0.25">
      <c r="A368" s="139" t="s">
        <v>740</v>
      </c>
      <c r="B368" s="219" t="s">
        <v>492</v>
      </c>
      <c r="C368" s="139" t="s">
        <v>151</v>
      </c>
      <c r="D368" s="139" t="s">
        <v>153</v>
      </c>
      <c r="E368" s="139" t="s">
        <v>155</v>
      </c>
      <c r="F368" s="139" t="s">
        <v>493</v>
      </c>
      <c r="G368" s="139"/>
      <c r="H368" s="68">
        <f>H369</f>
        <v>259.3</v>
      </c>
      <c r="I368" s="231">
        <f t="shared" ref="I368:J369" si="145">I369</f>
        <v>235.6</v>
      </c>
      <c r="J368" s="231">
        <f t="shared" si="145"/>
        <v>266.8</v>
      </c>
      <c r="K368" s="148"/>
      <c r="M368" s="68">
        <v>259.3</v>
      </c>
    </row>
    <row r="369" spans="1:13" ht="37.5" x14ac:dyDescent="0.25">
      <c r="A369" s="139" t="s">
        <v>741</v>
      </c>
      <c r="B369" s="219" t="s">
        <v>486</v>
      </c>
      <c r="C369" s="139" t="s">
        <v>151</v>
      </c>
      <c r="D369" s="139" t="s">
        <v>153</v>
      </c>
      <c r="E369" s="139" t="s">
        <v>155</v>
      </c>
      <c r="F369" s="139" t="s">
        <v>493</v>
      </c>
      <c r="G369" s="139" t="s">
        <v>487</v>
      </c>
      <c r="H369" s="68">
        <f>H370</f>
        <v>259.3</v>
      </c>
      <c r="I369" s="231">
        <f t="shared" si="145"/>
        <v>235.6</v>
      </c>
      <c r="J369" s="231">
        <f t="shared" si="145"/>
        <v>266.8</v>
      </c>
      <c r="K369" s="148"/>
      <c r="M369" s="68">
        <v>259.3</v>
      </c>
    </row>
    <row r="370" spans="1:13" x14ac:dyDescent="0.25">
      <c r="A370" s="71" t="s">
        <v>742</v>
      </c>
      <c r="B370" s="145" t="s">
        <v>495</v>
      </c>
      <c r="C370" s="71" t="s">
        <v>151</v>
      </c>
      <c r="D370" s="71" t="s">
        <v>153</v>
      </c>
      <c r="E370" s="71" t="s">
        <v>155</v>
      </c>
      <c r="F370" s="71" t="s">
        <v>493</v>
      </c>
      <c r="G370" s="71" t="s">
        <v>496</v>
      </c>
      <c r="H370" s="69">
        <f>235.6+23.7</f>
        <v>259.3</v>
      </c>
      <c r="I370" s="251">
        <v>235.6</v>
      </c>
      <c r="J370" s="251">
        <v>266.8</v>
      </c>
      <c r="K370" s="148"/>
      <c r="M370" s="69">
        <v>259.3</v>
      </c>
    </row>
    <row r="371" spans="1:13" ht="75" x14ac:dyDescent="0.25">
      <c r="A371" s="247" t="s">
        <v>41</v>
      </c>
      <c r="B371" s="222" t="s">
        <v>156</v>
      </c>
      <c r="C371" s="247" t="s">
        <v>151</v>
      </c>
      <c r="D371" s="247" t="s">
        <v>157</v>
      </c>
      <c r="E371" s="247"/>
      <c r="F371" s="247"/>
      <c r="G371" s="247"/>
      <c r="H371" s="248">
        <f>H386+H380+H372</f>
        <v>7842.3</v>
      </c>
      <c r="I371" s="248">
        <f t="shared" ref="I371:J371" si="146">I386+I380+I372</f>
        <v>7339.8000000000011</v>
      </c>
      <c r="J371" s="248">
        <f t="shared" si="146"/>
        <v>7623.4000000000015</v>
      </c>
      <c r="K371" s="148"/>
      <c r="M371" s="248">
        <v>7842.3</v>
      </c>
    </row>
    <row r="372" spans="1:13" ht="56.25" x14ac:dyDescent="0.25">
      <c r="A372" s="139" t="s">
        <v>44</v>
      </c>
      <c r="B372" s="219" t="s">
        <v>158</v>
      </c>
      <c r="C372" s="139" t="s">
        <v>151</v>
      </c>
      <c r="D372" s="139" t="s">
        <v>157</v>
      </c>
      <c r="E372" s="139" t="s">
        <v>159</v>
      </c>
      <c r="F372" s="139"/>
      <c r="G372" s="139"/>
      <c r="H372" s="68">
        <f>H373</f>
        <v>778.2</v>
      </c>
      <c r="I372" s="68">
        <f t="shared" ref="I372:J373" si="147">I373</f>
        <v>675.40000000000009</v>
      </c>
      <c r="J372" s="68">
        <f t="shared" si="147"/>
        <v>696.1</v>
      </c>
      <c r="K372" s="148"/>
      <c r="M372" s="68">
        <v>778.2</v>
      </c>
    </row>
    <row r="373" spans="1:13" ht="112.5" x14ac:dyDescent="0.25">
      <c r="A373" s="139" t="s">
        <v>62</v>
      </c>
      <c r="B373" s="219" t="s">
        <v>160</v>
      </c>
      <c r="C373" s="139" t="s">
        <v>151</v>
      </c>
      <c r="D373" s="139" t="s">
        <v>157</v>
      </c>
      <c r="E373" s="139" t="s">
        <v>159</v>
      </c>
      <c r="F373" s="139" t="s">
        <v>40</v>
      </c>
      <c r="G373" s="139"/>
      <c r="H373" s="143">
        <f>H374</f>
        <v>778.2</v>
      </c>
      <c r="I373" s="143">
        <f t="shared" si="147"/>
        <v>675.40000000000009</v>
      </c>
      <c r="J373" s="143">
        <f t="shared" si="147"/>
        <v>696.1</v>
      </c>
      <c r="K373" s="148"/>
      <c r="M373" s="143">
        <v>778.2</v>
      </c>
    </row>
    <row r="374" spans="1:13" ht="37.5" x14ac:dyDescent="0.25">
      <c r="A374" s="139" t="s">
        <v>342</v>
      </c>
      <c r="B374" s="384" t="s">
        <v>480</v>
      </c>
      <c r="C374" s="139" t="s">
        <v>151</v>
      </c>
      <c r="D374" s="139" t="s">
        <v>157</v>
      </c>
      <c r="E374" s="139" t="s">
        <v>159</v>
      </c>
      <c r="F374" s="66" t="s">
        <v>481</v>
      </c>
      <c r="G374" s="139"/>
      <c r="H374" s="143">
        <f>H375+H377</f>
        <v>778.2</v>
      </c>
      <c r="I374" s="143">
        <f t="shared" ref="I374:J374" si="148">I375+I377</f>
        <v>675.40000000000009</v>
      </c>
      <c r="J374" s="143">
        <f t="shared" si="148"/>
        <v>696.1</v>
      </c>
      <c r="K374" s="148"/>
      <c r="M374" s="143">
        <v>778.2</v>
      </c>
    </row>
    <row r="375" spans="1:13" ht="37.5" x14ac:dyDescent="0.25">
      <c r="A375" s="139" t="s">
        <v>497</v>
      </c>
      <c r="B375" s="219" t="s">
        <v>486</v>
      </c>
      <c r="C375" s="139" t="s">
        <v>151</v>
      </c>
      <c r="D375" s="139" t="s">
        <v>157</v>
      </c>
      <c r="E375" s="139" t="s">
        <v>159</v>
      </c>
      <c r="F375" s="258" t="s">
        <v>484</v>
      </c>
      <c r="G375" s="258" t="s">
        <v>487</v>
      </c>
      <c r="H375" s="143">
        <f>SUM(H376:H376)</f>
        <v>597.6</v>
      </c>
      <c r="I375" s="143">
        <f t="shared" ref="I375:J375" si="149">SUM(I376:I376)</f>
        <v>518.70000000000005</v>
      </c>
      <c r="J375" s="143">
        <f t="shared" si="149"/>
        <v>518.70000000000005</v>
      </c>
      <c r="K375" s="148"/>
      <c r="M375" s="143">
        <v>597.6</v>
      </c>
    </row>
    <row r="376" spans="1:13" x14ac:dyDescent="0.25">
      <c r="A376" s="71" t="s">
        <v>498</v>
      </c>
      <c r="B376" s="145" t="s">
        <v>489</v>
      </c>
      <c r="C376" s="71" t="s">
        <v>151</v>
      </c>
      <c r="D376" s="71" t="s">
        <v>157</v>
      </c>
      <c r="E376" s="71" t="s">
        <v>159</v>
      </c>
      <c r="F376" s="71" t="s">
        <v>484</v>
      </c>
      <c r="G376" s="71" t="s">
        <v>490</v>
      </c>
      <c r="H376" s="144">
        <f>518.7+78.9</f>
        <v>597.6</v>
      </c>
      <c r="I376" s="251">
        <v>518.70000000000005</v>
      </c>
      <c r="J376" s="251">
        <v>518.70000000000005</v>
      </c>
      <c r="K376" s="148"/>
      <c r="M376" s="144">
        <v>597.6</v>
      </c>
    </row>
    <row r="377" spans="1:13" ht="75" x14ac:dyDescent="0.25">
      <c r="A377" s="139" t="s">
        <v>743</v>
      </c>
      <c r="B377" s="219" t="s">
        <v>492</v>
      </c>
      <c r="C377" s="139" t="s">
        <v>151</v>
      </c>
      <c r="D377" s="139" t="s">
        <v>157</v>
      </c>
      <c r="E377" s="139" t="s">
        <v>159</v>
      </c>
      <c r="F377" s="139" t="s">
        <v>493</v>
      </c>
      <c r="G377" s="139"/>
      <c r="H377" s="143">
        <f>H378</f>
        <v>180.6</v>
      </c>
      <c r="I377" s="143">
        <f t="shared" ref="I377:J378" si="150">I378</f>
        <v>156.69999999999999</v>
      </c>
      <c r="J377" s="143">
        <f t="shared" si="150"/>
        <v>177.4</v>
      </c>
      <c r="K377" s="148"/>
      <c r="M377" s="143">
        <v>180.6</v>
      </c>
    </row>
    <row r="378" spans="1:13" ht="37.5" x14ac:dyDescent="0.25">
      <c r="A378" s="139" t="s">
        <v>744</v>
      </c>
      <c r="B378" s="219" t="s">
        <v>486</v>
      </c>
      <c r="C378" s="139" t="s">
        <v>151</v>
      </c>
      <c r="D378" s="139" t="s">
        <v>157</v>
      </c>
      <c r="E378" s="139" t="s">
        <v>159</v>
      </c>
      <c r="F378" s="139" t="s">
        <v>493</v>
      </c>
      <c r="G378" s="139" t="s">
        <v>487</v>
      </c>
      <c r="H378" s="143">
        <f>H379</f>
        <v>180.6</v>
      </c>
      <c r="I378" s="143">
        <f t="shared" si="150"/>
        <v>156.69999999999999</v>
      </c>
      <c r="J378" s="143">
        <f t="shared" si="150"/>
        <v>177.4</v>
      </c>
      <c r="K378" s="148"/>
      <c r="M378" s="143">
        <v>180.6</v>
      </c>
    </row>
    <row r="379" spans="1:13" x14ac:dyDescent="0.25">
      <c r="A379" s="71" t="s">
        <v>745</v>
      </c>
      <c r="B379" s="145" t="s">
        <v>495</v>
      </c>
      <c r="C379" s="71" t="s">
        <v>151</v>
      </c>
      <c r="D379" s="71" t="s">
        <v>157</v>
      </c>
      <c r="E379" s="71" t="s">
        <v>159</v>
      </c>
      <c r="F379" s="71" t="s">
        <v>493</v>
      </c>
      <c r="G379" s="71" t="s">
        <v>496</v>
      </c>
      <c r="H379" s="144">
        <f>156.7+23.9</f>
        <v>180.6</v>
      </c>
      <c r="I379" s="251">
        <v>156.69999999999999</v>
      </c>
      <c r="J379" s="251">
        <v>177.4</v>
      </c>
      <c r="K379" s="148"/>
      <c r="M379" s="144">
        <v>180.6</v>
      </c>
    </row>
    <row r="380" spans="1:13" ht="37.5" x14ac:dyDescent="0.25">
      <c r="A380" s="139" t="s">
        <v>45</v>
      </c>
      <c r="B380" s="219" t="s">
        <v>161</v>
      </c>
      <c r="C380" s="139" t="s">
        <v>151</v>
      </c>
      <c r="D380" s="139" t="s">
        <v>157</v>
      </c>
      <c r="E380" s="139" t="s">
        <v>162</v>
      </c>
      <c r="F380" s="139"/>
      <c r="G380" s="139"/>
      <c r="H380" s="68">
        <f>H381</f>
        <v>93.6</v>
      </c>
      <c r="I380" s="68">
        <f t="shared" ref="I380:J384" si="151">I381</f>
        <v>93.6</v>
      </c>
      <c r="J380" s="68">
        <f t="shared" si="151"/>
        <v>93.6</v>
      </c>
      <c r="K380" s="148"/>
      <c r="M380" s="68">
        <v>93.6</v>
      </c>
    </row>
    <row r="381" spans="1:13" ht="93.75" x14ac:dyDescent="0.25">
      <c r="A381" s="139" t="s">
        <v>288</v>
      </c>
      <c r="B381" s="219" t="s">
        <v>39</v>
      </c>
      <c r="C381" s="139" t="s">
        <v>151</v>
      </c>
      <c r="D381" s="139" t="s">
        <v>157</v>
      </c>
      <c r="E381" s="139" t="s">
        <v>162</v>
      </c>
      <c r="F381" s="139" t="s">
        <v>40</v>
      </c>
      <c r="G381" s="139"/>
      <c r="H381" s="143">
        <f>H382</f>
        <v>93.6</v>
      </c>
      <c r="I381" s="143">
        <f t="shared" si="151"/>
        <v>93.6</v>
      </c>
      <c r="J381" s="143">
        <f t="shared" si="151"/>
        <v>93.6</v>
      </c>
      <c r="K381" s="148"/>
      <c r="M381" s="143">
        <v>93.6</v>
      </c>
    </row>
    <row r="382" spans="1:13" ht="37.5" x14ac:dyDescent="0.25">
      <c r="A382" s="139" t="s">
        <v>346</v>
      </c>
      <c r="B382" s="384" t="s">
        <v>480</v>
      </c>
      <c r="C382" s="139" t="s">
        <v>151</v>
      </c>
      <c r="D382" s="139" t="s">
        <v>157</v>
      </c>
      <c r="E382" s="139" t="s">
        <v>162</v>
      </c>
      <c r="F382" s="139" t="s">
        <v>481</v>
      </c>
      <c r="G382" s="139"/>
      <c r="H382" s="143">
        <f>H383</f>
        <v>93.6</v>
      </c>
      <c r="I382" s="143">
        <f t="shared" si="151"/>
        <v>93.6</v>
      </c>
      <c r="J382" s="143">
        <f t="shared" si="151"/>
        <v>93.6</v>
      </c>
      <c r="K382" s="148"/>
      <c r="M382" s="143">
        <v>93.6</v>
      </c>
    </row>
    <row r="383" spans="1:13" ht="75" x14ac:dyDescent="0.25">
      <c r="A383" s="139" t="s">
        <v>348</v>
      </c>
      <c r="B383" s="369" t="s">
        <v>746</v>
      </c>
      <c r="C383" s="139" t="s">
        <v>151</v>
      </c>
      <c r="D383" s="139" t="s">
        <v>157</v>
      </c>
      <c r="E383" s="139" t="s">
        <v>162</v>
      </c>
      <c r="F383" s="66" t="s">
        <v>747</v>
      </c>
      <c r="G383" s="139"/>
      <c r="H383" s="143">
        <f>H384</f>
        <v>93.6</v>
      </c>
      <c r="I383" s="143">
        <f t="shared" si="151"/>
        <v>93.6</v>
      </c>
      <c r="J383" s="143">
        <f t="shared" si="151"/>
        <v>93.6</v>
      </c>
      <c r="K383" s="148"/>
      <c r="M383" s="143">
        <v>93.6</v>
      </c>
    </row>
    <row r="384" spans="1:13" x14ac:dyDescent="0.25">
      <c r="A384" s="139" t="s">
        <v>513</v>
      </c>
      <c r="B384" s="219" t="s">
        <v>511</v>
      </c>
      <c r="C384" s="139" t="s">
        <v>151</v>
      </c>
      <c r="D384" s="139" t="s">
        <v>157</v>
      </c>
      <c r="E384" s="139" t="s">
        <v>162</v>
      </c>
      <c r="F384" s="139" t="s">
        <v>747</v>
      </c>
      <c r="G384" s="139" t="s">
        <v>512</v>
      </c>
      <c r="H384" s="143">
        <f>H385</f>
        <v>93.6</v>
      </c>
      <c r="I384" s="143">
        <f t="shared" si="151"/>
        <v>93.6</v>
      </c>
      <c r="J384" s="143">
        <f t="shared" si="151"/>
        <v>93.6</v>
      </c>
      <c r="K384" s="148"/>
      <c r="M384" s="143">
        <v>93.6</v>
      </c>
    </row>
    <row r="385" spans="1:13" x14ac:dyDescent="0.25">
      <c r="A385" s="71" t="s">
        <v>748</v>
      </c>
      <c r="B385" s="145" t="s">
        <v>517</v>
      </c>
      <c r="C385" s="71" t="s">
        <v>151</v>
      </c>
      <c r="D385" s="71" t="s">
        <v>157</v>
      </c>
      <c r="E385" s="71" t="s">
        <v>162</v>
      </c>
      <c r="F385" s="71" t="s">
        <v>747</v>
      </c>
      <c r="G385" s="71" t="s">
        <v>518</v>
      </c>
      <c r="H385" s="144">
        <v>93.6</v>
      </c>
      <c r="I385" s="251">
        <v>93.6</v>
      </c>
      <c r="J385" s="251">
        <v>93.6</v>
      </c>
      <c r="K385" s="148"/>
      <c r="M385" s="144">
        <v>93.6</v>
      </c>
    </row>
    <row r="386" spans="1:13" ht="37.5" x14ac:dyDescent="0.25">
      <c r="A386" s="139" t="s">
        <v>48</v>
      </c>
      <c r="B386" s="219" t="s">
        <v>163</v>
      </c>
      <c r="C386" s="139" t="s">
        <v>151</v>
      </c>
      <c r="D386" s="139" t="s">
        <v>157</v>
      </c>
      <c r="E386" s="139" t="s">
        <v>164</v>
      </c>
      <c r="F386" s="139"/>
      <c r="G386" s="139"/>
      <c r="H386" s="68">
        <f>H387+H395+H412</f>
        <v>6970.5</v>
      </c>
      <c r="I386" s="68">
        <f t="shared" ref="I386:J386" si="152">I387+I395+I412</f>
        <v>6570.8</v>
      </c>
      <c r="J386" s="68">
        <f t="shared" si="152"/>
        <v>6833.7000000000007</v>
      </c>
      <c r="K386" s="148"/>
      <c r="M386" s="68">
        <v>6970.5</v>
      </c>
    </row>
    <row r="387" spans="1:13" ht="93.75" x14ac:dyDescent="0.25">
      <c r="A387" s="139" t="s">
        <v>307</v>
      </c>
      <c r="B387" s="219" t="s">
        <v>39</v>
      </c>
      <c r="C387" s="139" t="s">
        <v>151</v>
      </c>
      <c r="D387" s="139" t="s">
        <v>157</v>
      </c>
      <c r="E387" s="139" t="s">
        <v>164</v>
      </c>
      <c r="F387" s="139" t="s">
        <v>40</v>
      </c>
      <c r="G387" s="139"/>
      <c r="H387" s="143">
        <f>H388</f>
        <v>4088.1000000000004</v>
      </c>
      <c r="I387" s="143">
        <f t="shared" ref="I387:J387" si="153">I388</f>
        <v>3872.2</v>
      </c>
      <c r="J387" s="143">
        <f t="shared" si="153"/>
        <v>3991.1</v>
      </c>
      <c r="K387" s="148"/>
      <c r="M387" s="143">
        <v>4088.1000000000004</v>
      </c>
    </row>
    <row r="388" spans="1:13" ht="37.5" x14ac:dyDescent="0.25">
      <c r="A388" s="139" t="s">
        <v>541</v>
      </c>
      <c r="B388" s="384" t="s">
        <v>480</v>
      </c>
      <c r="C388" s="139" t="s">
        <v>151</v>
      </c>
      <c r="D388" s="139" t="s">
        <v>157</v>
      </c>
      <c r="E388" s="139" t="s">
        <v>164</v>
      </c>
      <c r="F388" s="66" t="s">
        <v>481</v>
      </c>
      <c r="G388" s="66"/>
      <c r="H388" s="143">
        <f>H389+H392</f>
        <v>4088.1000000000004</v>
      </c>
      <c r="I388" s="143">
        <f t="shared" ref="I388:J388" si="154">I389+I392</f>
        <v>3872.2</v>
      </c>
      <c r="J388" s="143">
        <f t="shared" si="154"/>
        <v>3991.1</v>
      </c>
      <c r="K388" s="148"/>
      <c r="M388" s="143">
        <v>4088.1000000000004</v>
      </c>
    </row>
    <row r="389" spans="1:13" ht="56.25" x14ac:dyDescent="0.25">
      <c r="A389" s="139" t="s">
        <v>544</v>
      </c>
      <c r="B389" s="219" t="s">
        <v>483</v>
      </c>
      <c r="C389" s="139" t="s">
        <v>151</v>
      </c>
      <c r="D389" s="139" t="s">
        <v>157</v>
      </c>
      <c r="E389" s="139" t="s">
        <v>164</v>
      </c>
      <c r="F389" s="139" t="s">
        <v>484</v>
      </c>
      <c r="G389" s="139"/>
      <c r="H389" s="143">
        <f>H390</f>
        <v>3139.8</v>
      </c>
      <c r="I389" s="143">
        <f t="shared" ref="I389:J389" si="155">I390</f>
        <v>2974</v>
      </c>
      <c r="J389" s="143">
        <f t="shared" si="155"/>
        <v>2974</v>
      </c>
      <c r="K389" s="148"/>
      <c r="M389" s="143">
        <v>3139.8</v>
      </c>
    </row>
    <row r="390" spans="1:13" ht="37.5" x14ac:dyDescent="0.25">
      <c r="A390" s="139" t="s">
        <v>749</v>
      </c>
      <c r="B390" s="219" t="s">
        <v>486</v>
      </c>
      <c r="C390" s="139" t="s">
        <v>151</v>
      </c>
      <c r="D390" s="139" t="s">
        <v>157</v>
      </c>
      <c r="E390" s="139" t="s">
        <v>164</v>
      </c>
      <c r="F390" s="139" t="s">
        <v>484</v>
      </c>
      <c r="G390" s="139" t="s">
        <v>487</v>
      </c>
      <c r="H390" s="143">
        <f>SUM(H391:H391)</f>
        <v>3139.8</v>
      </c>
      <c r="I390" s="143">
        <f t="shared" ref="I390:J390" si="156">SUM(I391:I391)</f>
        <v>2974</v>
      </c>
      <c r="J390" s="143">
        <f t="shared" si="156"/>
        <v>2974</v>
      </c>
      <c r="K390" s="148"/>
      <c r="M390" s="143">
        <v>3139.8</v>
      </c>
    </row>
    <row r="391" spans="1:13" x14ac:dyDescent="0.25">
      <c r="A391" s="71" t="s">
        <v>750</v>
      </c>
      <c r="B391" s="145" t="s">
        <v>489</v>
      </c>
      <c r="C391" s="71" t="s">
        <v>151</v>
      </c>
      <c r="D391" s="71" t="s">
        <v>157</v>
      </c>
      <c r="E391" s="71" t="s">
        <v>164</v>
      </c>
      <c r="F391" s="71" t="s">
        <v>484</v>
      </c>
      <c r="G391" s="71" t="s">
        <v>490</v>
      </c>
      <c r="H391" s="144">
        <f>2974+165.8</f>
        <v>3139.8</v>
      </c>
      <c r="I391" s="251">
        <v>2974</v>
      </c>
      <c r="J391" s="251">
        <v>2974</v>
      </c>
      <c r="K391" s="148"/>
      <c r="M391" s="144">
        <v>3139.8</v>
      </c>
    </row>
    <row r="392" spans="1:13" ht="75" x14ac:dyDescent="0.25">
      <c r="A392" s="139" t="s">
        <v>751</v>
      </c>
      <c r="B392" s="219" t="s">
        <v>492</v>
      </c>
      <c r="C392" s="139" t="s">
        <v>151</v>
      </c>
      <c r="D392" s="139" t="s">
        <v>157</v>
      </c>
      <c r="E392" s="139" t="s">
        <v>164</v>
      </c>
      <c r="F392" s="139" t="s">
        <v>493</v>
      </c>
      <c r="G392" s="139"/>
      <c r="H392" s="143">
        <f>H393</f>
        <v>948.30000000000007</v>
      </c>
      <c r="I392" s="143">
        <f t="shared" ref="I392:J393" si="157">I393</f>
        <v>898.2</v>
      </c>
      <c r="J392" s="143">
        <f t="shared" si="157"/>
        <v>1017.1</v>
      </c>
      <c r="K392" s="148"/>
      <c r="M392" s="143">
        <v>948.30000000000007</v>
      </c>
    </row>
    <row r="393" spans="1:13" ht="37.5" x14ac:dyDescent="0.25">
      <c r="A393" s="139" t="s">
        <v>752</v>
      </c>
      <c r="B393" s="219" t="s">
        <v>486</v>
      </c>
      <c r="C393" s="139" t="s">
        <v>151</v>
      </c>
      <c r="D393" s="139" t="s">
        <v>157</v>
      </c>
      <c r="E393" s="139" t="s">
        <v>164</v>
      </c>
      <c r="F393" s="139" t="s">
        <v>493</v>
      </c>
      <c r="G393" s="139" t="s">
        <v>487</v>
      </c>
      <c r="H393" s="143">
        <f>H394</f>
        <v>948.30000000000007</v>
      </c>
      <c r="I393" s="143">
        <f t="shared" si="157"/>
        <v>898.2</v>
      </c>
      <c r="J393" s="143">
        <f t="shared" si="157"/>
        <v>1017.1</v>
      </c>
      <c r="K393" s="148"/>
      <c r="M393" s="143">
        <v>948.30000000000007</v>
      </c>
    </row>
    <row r="394" spans="1:13" x14ac:dyDescent="0.25">
      <c r="A394" s="71" t="s">
        <v>753</v>
      </c>
      <c r="B394" s="145" t="s">
        <v>495</v>
      </c>
      <c r="C394" s="71" t="s">
        <v>151</v>
      </c>
      <c r="D394" s="71" t="s">
        <v>157</v>
      </c>
      <c r="E394" s="71" t="s">
        <v>164</v>
      </c>
      <c r="F394" s="71" t="s">
        <v>493</v>
      </c>
      <c r="G394" s="71" t="s">
        <v>496</v>
      </c>
      <c r="H394" s="144">
        <f>898.2+50.1</f>
        <v>948.30000000000007</v>
      </c>
      <c r="I394" s="251">
        <v>898.2</v>
      </c>
      <c r="J394" s="251">
        <v>1017.1</v>
      </c>
      <c r="K394" s="148"/>
      <c r="M394" s="144">
        <v>948.30000000000007</v>
      </c>
    </row>
    <row r="395" spans="1:13" ht="37.5" x14ac:dyDescent="0.25">
      <c r="A395" s="139" t="s">
        <v>308</v>
      </c>
      <c r="B395" s="219" t="s">
        <v>46</v>
      </c>
      <c r="C395" s="139" t="s">
        <v>151</v>
      </c>
      <c r="D395" s="139" t="s">
        <v>157</v>
      </c>
      <c r="E395" s="139" t="s">
        <v>164</v>
      </c>
      <c r="F395" s="139" t="s">
        <v>47</v>
      </c>
      <c r="G395" s="139"/>
      <c r="H395" s="68">
        <f>H396</f>
        <v>2866.2999999999997</v>
      </c>
      <c r="I395" s="68">
        <f t="shared" ref="I395:J395" si="158">I396</f>
        <v>2682.5</v>
      </c>
      <c r="J395" s="68">
        <f t="shared" si="158"/>
        <v>2826.5</v>
      </c>
      <c r="K395" s="148"/>
      <c r="M395" s="68">
        <v>2866.2999999999997</v>
      </c>
    </row>
    <row r="396" spans="1:13" ht="56.25" x14ac:dyDescent="0.25">
      <c r="A396" s="139" t="s">
        <v>754</v>
      </c>
      <c r="B396" s="358" t="s">
        <v>507</v>
      </c>
      <c r="C396" s="139" t="s">
        <v>151</v>
      </c>
      <c r="D396" s="139" t="s">
        <v>157</v>
      </c>
      <c r="E396" s="139" t="s">
        <v>164</v>
      </c>
      <c r="F396" s="139" t="s">
        <v>508</v>
      </c>
      <c r="G396" s="139"/>
      <c r="H396" s="68">
        <f>H397+H403</f>
        <v>2866.2999999999997</v>
      </c>
      <c r="I396" s="68">
        <f t="shared" ref="I396:J396" si="159">I397+I403</f>
        <v>2682.5</v>
      </c>
      <c r="J396" s="68">
        <f t="shared" si="159"/>
        <v>2826.5</v>
      </c>
      <c r="K396" s="148"/>
      <c r="M396" s="67">
        <v>2866.2999999999997</v>
      </c>
    </row>
    <row r="397" spans="1:13" ht="37.5" x14ac:dyDescent="0.25">
      <c r="A397" s="139" t="s">
        <v>755</v>
      </c>
      <c r="B397" s="358" t="s">
        <v>509</v>
      </c>
      <c r="C397" s="139" t="s">
        <v>151</v>
      </c>
      <c r="D397" s="139" t="s">
        <v>157</v>
      </c>
      <c r="E397" s="139" t="s">
        <v>164</v>
      </c>
      <c r="F397" s="139" t="s">
        <v>510</v>
      </c>
      <c r="G397" s="139"/>
      <c r="H397" s="68">
        <f>H398+H401</f>
        <v>516.1</v>
      </c>
      <c r="I397" s="68">
        <f t="shared" ref="I397:J397" si="160">I398+I401</f>
        <v>655.20000000000005</v>
      </c>
      <c r="J397" s="68">
        <f t="shared" si="160"/>
        <v>689.90000000000009</v>
      </c>
      <c r="K397" s="148"/>
      <c r="M397" s="68">
        <v>516.1</v>
      </c>
    </row>
    <row r="398" spans="1:13" x14ac:dyDescent="0.25">
      <c r="A398" s="139" t="s">
        <v>756</v>
      </c>
      <c r="B398" s="219" t="s">
        <v>511</v>
      </c>
      <c r="C398" s="139" t="s">
        <v>151</v>
      </c>
      <c r="D398" s="139" t="s">
        <v>157</v>
      </c>
      <c r="E398" s="139" t="s">
        <v>164</v>
      </c>
      <c r="F398" s="139" t="s">
        <v>510</v>
      </c>
      <c r="G398" s="139" t="s">
        <v>512</v>
      </c>
      <c r="H398" s="68">
        <f>SUM(H399:H400)</f>
        <v>476.3</v>
      </c>
      <c r="I398" s="68">
        <f t="shared" ref="I398:J398" si="161">SUM(I399:I400)</f>
        <v>613.20000000000005</v>
      </c>
      <c r="J398" s="68">
        <f t="shared" si="161"/>
        <v>645.70000000000005</v>
      </c>
      <c r="K398" s="148"/>
      <c r="M398" s="68">
        <v>476.3</v>
      </c>
    </row>
    <row r="399" spans="1:13" x14ac:dyDescent="0.25">
      <c r="A399" s="71" t="s">
        <v>757</v>
      </c>
      <c r="B399" s="145" t="s">
        <v>514</v>
      </c>
      <c r="C399" s="71" t="s">
        <v>151</v>
      </c>
      <c r="D399" s="71" t="s">
        <v>157</v>
      </c>
      <c r="E399" s="71" t="s">
        <v>164</v>
      </c>
      <c r="F399" s="71" t="s">
        <v>510</v>
      </c>
      <c r="G399" s="71" t="s">
        <v>515</v>
      </c>
      <c r="H399" s="69">
        <v>332.6</v>
      </c>
      <c r="I399" s="92">
        <v>350.5</v>
      </c>
      <c r="J399" s="92">
        <v>369.1</v>
      </c>
      <c r="K399" s="148"/>
      <c r="M399" s="69">
        <v>332.6</v>
      </c>
    </row>
    <row r="400" spans="1:13" x14ac:dyDescent="0.25">
      <c r="A400" s="71" t="s">
        <v>758</v>
      </c>
      <c r="B400" s="145" t="s">
        <v>517</v>
      </c>
      <c r="C400" s="71" t="s">
        <v>151</v>
      </c>
      <c r="D400" s="71" t="s">
        <v>157</v>
      </c>
      <c r="E400" s="71" t="s">
        <v>164</v>
      </c>
      <c r="F400" s="71" t="s">
        <v>510</v>
      </c>
      <c r="G400" s="71" t="s">
        <v>518</v>
      </c>
      <c r="H400" s="69">
        <v>143.69999999999999</v>
      </c>
      <c r="I400" s="92">
        <v>262.7</v>
      </c>
      <c r="J400" s="92">
        <v>276.60000000000002</v>
      </c>
      <c r="K400" s="148"/>
      <c r="M400" s="69">
        <v>143.69999999999999</v>
      </c>
    </row>
    <row r="401" spans="1:13" x14ac:dyDescent="0.25">
      <c r="A401" s="139" t="s">
        <v>759</v>
      </c>
      <c r="B401" s="219" t="s">
        <v>520</v>
      </c>
      <c r="C401" s="139" t="s">
        <v>151</v>
      </c>
      <c r="D401" s="139" t="s">
        <v>157</v>
      </c>
      <c r="E401" s="139" t="s">
        <v>164</v>
      </c>
      <c r="F401" s="139" t="s">
        <v>510</v>
      </c>
      <c r="G401" s="139" t="s">
        <v>142</v>
      </c>
      <c r="H401" s="68">
        <f>SUM(H402:H402)</f>
        <v>39.799999999999997</v>
      </c>
      <c r="I401" s="68">
        <f t="shared" ref="I401:J401" si="162">SUM(I402:I402)</f>
        <v>42</v>
      </c>
      <c r="J401" s="68">
        <f t="shared" si="162"/>
        <v>44.2</v>
      </c>
      <c r="K401" s="148"/>
      <c r="M401" s="68">
        <v>39.799999999999997</v>
      </c>
    </row>
    <row r="402" spans="1:13" x14ac:dyDescent="0.25">
      <c r="A402" s="71" t="s">
        <v>760</v>
      </c>
      <c r="B402" s="145" t="s">
        <v>761</v>
      </c>
      <c r="C402" s="71" t="s">
        <v>151</v>
      </c>
      <c r="D402" s="71" t="s">
        <v>157</v>
      </c>
      <c r="E402" s="71" t="s">
        <v>164</v>
      </c>
      <c r="F402" s="71" t="s">
        <v>510</v>
      </c>
      <c r="G402" s="71" t="s">
        <v>523</v>
      </c>
      <c r="H402" s="69">
        <v>39.799999999999997</v>
      </c>
      <c r="I402" s="92">
        <v>42</v>
      </c>
      <c r="J402" s="92">
        <v>44.2</v>
      </c>
      <c r="K402" s="148"/>
      <c r="M402" s="69">
        <v>39.799999999999997</v>
      </c>
    </row>
    <row r="403" spans="1:13" ht="56.25" x14ac:dyDescent="0.25">
      <c r="A403" s="139" t="s">
        <v>762</v>
      </c>
      <c r="B403" s="219" t="s">
        <v>527</v>
      </c>
      <c r="C403" s="139" t="s">
        <v>151</v>
      </c>
      <c r="D403" s="139" t="s">
        <v>157</v>
      </c>
      <c r="E403" s="139" t="s">
        <v>164</v>
      </c>
      <c r="F403" s="139" t="s">
        <v>528</v>
      </c>
      <c r="G403" s="139"/>
      <c r="H403" s="68">
        <f>H404+H410</f>
        <v>2350.1999999999998</v>
      </c>
      <c r="I403" s="68">
        <f t="shared" ref="I403:J403" si="163">I404+I410</f>
        <v>2027.3</v>
      </c>
      <c r="J403" s="68">
        <f t="shared" si="163"/>
        <v>2136.6</v>
      </c>
      <c r="K403" s="148"/>
      <c r="M403" s="68">
        <v>2350.1999999999998</v>
      </c>
    </row>
    <row r="404" spans="1:13" x14ac:dyDescent="0.25">
      <c r="A404" s="139" t="s">
        <v>763</v>
      </c>
      <c r="B404" s="219" t="s">
        <v>511</v>
      </c>
      <c r="C404" s="139" t="s">
        <v>151</v>
      </c>
      <c r="D404" s="139" t="s">
        <v>157</v>
      </c>
      <c r="E404" s="139" t="s">
        <v>164</v>
      </c>
      <c r="F404" s="139" t="s">
        <v>528</v>
      </c>
      <c r="G404" s="139" t="s">
        <v>512</v>
      </c>
      <c r="H404" s="68">
        <f>SUM(H405:H409)</f>
        <v>2158.1999999999998</v>
      </c>
      <c r="I404" s="68">
        <f t="shared" ref="I404:J404" si="164">SUM(I405:I409)</f>
        <v>1835.3</v>
      </c>
      <c r="J404" s="68">
        <f t="shared" si="164"/>
        <v>1944.6</v>
      </c>
      <c r="K404" s="148"/>
      <c r="M404" s="68">
        <v>2158.1999999999998</v>
      </c>
    </row>
    <row r="405" spans="1:13" x14ac:dyDescent="0.25">
      <c r="A405" s="71" t="s">
        <v>764</v>
      </c>
      <c r="B405" s="145" t="s">
        <v>514</v>
      </c>
      <c r="C405" s="71" t="s">
        <v>151</v>
      </c>
      <c r="D405" s="71" t="s">
        <v>157</v>
      </c>
      <c r="E405" s="71" t="s">
        <v>164</v>
      </c>
      <c r="F405" s="71" t="s">
        <v>528</v>
      </c>
      <c r="G405" s="71" t="s">
        <v>515</v>
      </c>
      <c r="H405" s="69">
        <v>7.4</v>
      </c>
      <c r="I405" s="92">
        <v>7.8</v>
      </c>
      <c r="J405" s="92">
        <v>8.3000000000000007</v>
      </c>
      <c r="K405" s="148"/>
      <c r="M405" s="69">
        <v>7.4</v>
      </c>
    </row>
    <row r="406" spans="1:13" x14ac:dyDescent="0.25">
      <c r="A406" s="71" t="s">
        <v>765</v>
      </c>
      <c r="B406" s="145" t="s">
        <v>531</v>
      </c>
      <c r="C406" s="71" t="s">
        <v>151</v>
      </c>
      <c r="D406" s="71" t="s">
        <v>157</v>
      </c>
      <c r="E406" s="71" t="s">
        <v>164</v>
      </c>
      <c r="F406" s="71" t="s">
        <v>528</v>
      </c>
      <c r="G406" s="71" t="s">
        <v>532</v>
      </c>
      <c r="H406" s="69">
        <v>21.2</v>
      </c>
      <c r="I406" s="92">
        <v>22.3</v>
      </c>
      <c r="J406" s="92">
        <v>23.5</v>
      </c>
      <c r="K406" s="148"/>
      <c r="M406" s="69">
        <v>21.2</v>
      </c>
    </row>
    <row r="407" spans="1:13" x14ac:dyDescent="0.25">
      <c r="A407" s="71" t="s">
        <v>766</v>
      </c>
      <c r="B407" s="145" t="s">
        <v>767</v>
      </c>
      <c r="C407" s="71" t="s">
        <v>151</v>
      </c>
      <c r="D407" s="71" t="s">
        <v>157</v>
      </c>
      <c r="E407" s="71" t="s">
        <v>164</v>
      </c>
      <c r="F407" s="71" t="s">
        <v>528</v>
      </c>
      <c r="G407" s="71" t="s">
        <v>768</v>
      </c>
      <c r="H407" s="69">
        <v>564.79999999999995</v>
      </c>
      <c r="I407" s="92">
        <v>587.9</v>
      </c>
      <c r="J407" s="92">
        <v>631</v>
      </c>
      <c r="K407" s="148"/>
      <c r="M407" s="69">
        <v>564.79999999999995</v>
      </c>
    </row>
    <row r="408" spans="1:13" x14ac:dyDescent="0.25">
      <c r="A408" s="71" t="s">
        <v>769</v>
      </c>
      <c r="B408" s="145" t="s">
        <v>534</v>
      </c>
      <c r="C408" s="71" t="s">
        <v>151</v>
      </c>
      <c r="D408" s="71" t="s">
        <v>157</v>
      </c>
      <c r="E408" s="71" t="s">
        <v>164</v>
      </c>
      <c r="F408" s="71" t="s">
        <v>528</v>
      </c>
      <c r="G408" s="71" t="s">
        <v>535</v>
      </c>
      <c r="H408" s="69">
        <v>975.5</v>
      </c>
      <c r="I408" s="92">
        <v>676.3</v>
      </c>
      <c r="J408" s="92">
        <v>712.2</v>
      </c>
      <c r="K408" s="148"/>
      <c r="M408" s="69">
        <v>975.5</v>
      </c>
    </row>
    <row r="409" spans="1:13" x14ac:dyDescent="0.25">
      <c r="A409" s="71" t="s">
        <v>770</v>
      </c>
      <c r="B409" s="145" t="s">
        <v>517</v>
      </c>
      <c r="C409" s="71" t="s">
        <v>151</v>
      </c>
      <c r="D409" s="71" t="s">
        <v>157</v>
      </c>
      <c r="E409" s="71" t="s">
        <v>164</v>
      </c>
      <c r="F409" s="71" t="s">
        <v>528</v>
      </c>
      <c r="G409" s="71" t="s">
        <v>518</v>
      </c>
      <c r="H409" s="69">
        <v>589.29999999999995</v>
      </c>
      <c r="I409" s="92">
        <v>541</v>
      </c>
      <c r="J409" s="92">
        <v>569.6</v>
      </c>
      <c r="K409" s="148"/>
      <c r="M409" s="69">
        <v>589.29999999999995</v>
      </c>
    </row>
    <row r="410" spans="1:13" x14ac:dyDescent="0.25">
      <c r="A410" s="139" t="s">
        <v>771</v>
      </c>
      <c r="B410" s="219" t="s">
        <v>520</v>
      </c>
      <c r="C410" s="139" t="s">
        <v>151</v>
      </c>
      <c r="D410" s="139" t="s">
        <v>157</v>
      </c>
      <c r="E410" s="139" t="s">
        <v>164</v>
      </c>
      <c r="F410" s="139" t="s">
        <v>528</v>
      </c>
      <c r="G410" s="139" t="s">
        <v>142</v>
      </c>
      <c r="H410" s="68">
        <f>SUM(H411:H411)</f>
        <v>192</v>
      </c>
      <c r="I410" s="68">
        <f t="shared" ref="I410:J410" si="165">SUM(I411:I411)</f>
        <v>192</v>
      </c>
      <c r="J410" s="68">
        <f t="shared" si="165"/>
        <v>192</v>
      </c>
      <c r="K410" s="148"/>
      <c r="M410" s="68">
        <v>192</v>
      </c>
    </row>
    <row r="411" spans="1:13" x14ac:dyDescent="0.25">
      <c r="A411" s="71" t="s">
        <v>772</v>
      </c>
      <c r="B411" s="145" t="s">
        <v>525</v>
      </c>
      <c r="C411" s="71" t="s">
        <v>151</v>
      </c>
      <c r="D411" s="71" t="s">
        <v>157</v>
      </c>
      <c r="E411" s="71" t="s">
        <v>164</v>
      </c>
      <c r="F411" s="71" t="s">
        <v>528</v>
      </c>
      <c r="G411" s="71" t="s">
        <v>526</v>
      </c>
      <c r="H411" s="69">
        <v>192</v>
      </c>
      <c r="I411" s="251">
        <v>192</v>
      </c>
      <c r="J411" s="251">
        <v>192</v>
      </c>
      <c r="K411" s="148"/>
      <c r="M411" s="69">
        <v>192</v>
      </c>
    </row>
    <row r="412" spans="1:13" x14ac:dyDescent="0.25">
      <c r="A412" s="139" t="s">
        <v>309</v>
      </c>
      <c r="B412" s="357" t="s">
        <v>49</v>
      </c>
      <c r="C412" s="139" t="s">
        <v>151</v>
      </c>
      <c r="D412" s="139" t="s">
        <v>157</v>
      </c>
      <c r="E412" s="139" t="s">
        <v>164</v>
      </c>
      <c r="F412" s="139" t="s">
        <v>50</v>
      </c>
      <c r="G412" s="139"/>
      <c r="H412" s="68">
        <f>H413</f>
        <v>16.100000000000001</v>
      </c>
      <c r="I412" s="68">
        <f t="shared" ref="I412:J412" si="166">I413</f>
        <v>16.100000000000001</v>
      </c>
      <c r="J412" s="68">
        <f t="shared" si="166"/>
        <v>16.100000000000001</v>
      </c>
      <c r="K412" s="148"/>
      <c r="M412" s="68">
        <v>16.100000000000001</v>
      </c>
    </row>
    <row r="413" spans="1:13" x14ac:dyDescent="0.25">
      <c r="A413" s="139" t="s">
        <v>773</v>
      </c>
      <c r="B413" s="357" t="s">
        <v>539</v>
      </c>
      <c r="C413" s="139" t="s">
        <v>151</v>
      </c>
      <c r="D413" s="139" t="s">
        <v>157</v>
      </c>
      <c r="E413" s="139" t="s">
        <v>164</v>
      </c>
      <c r="F413" s="139" t="s">
        <v>540</v>
      </c>
      <c r="G413" s="139"/>
      <c r="H413" s="68">
        <f>H414+H416</f>
        <v>16.100000000000001</v>
      </c>
      <c r="I413" s="68">
        <f t="shared" ref="I413:J413" si="167">I414+I416</f>
        <v>16.100000000000001</v>
      </c>
      <c r="J413" s="68">
        <f t="shared" si="167"/>
        <v>16.100000000000001</v>
      </c>
      <c r="K413" s="148"/>
      <c r="M413" s="68">
        <v>16.100000000000001</v>
      </c>
    </row>
    <row r="414" spans="1:13" ht="37.5" x14ac:dyDescent="0.25">
      <c r="A414" s="139" t="s">
        <v>774</v>
      </c>
      <c r="B414" s="357" t="s">
        <v>542</v>
      </c>
      <c r="C414" s="139" t="s">
        <v>151</v>
      </c>
      <c r="D414" s="139" t="s">
        <v>157</v>
      </c>
      <c r="E414" s="139" t="s">
        <v>164</v>
      </c>
      <c r="F414" s="139" t="s">
        <v>543</v>
      </c>
      <c r="G414" s="139"/>
      <c r="H414" s="68">
        <f>H415</f>
        <v>16</v>
      </c>
      <c r="I414" s="68">
        <f t="shared" ref="I414:J414" si="168">I415</f>
        <v>16</v>
      </c>
      <c r="J414" s="68">
        <f t="shared" si="168"/>
        <v>16</v>
      </c>
      <c r="K414" s="148"/>
      <c r="M414" s="68">
        <v>16</v>
      </c>
    </row>
    <row r="415" spans="1:13" x14ac:dyDescent="0.25">
      <c r="A415" s="71" t="s">
        <v>775</v>
      </c>
      <c r="B415" s="385" t="s">
        <v>545</v>
      </c>
      <c r="C415" s="71" t="s">
        <v>151</v>
      </c>
      <c r="D415" s="71" t="s">
        <v>157</v>
      </c>
      <c r="E415" s="71" t="s">
        <v>164</v>
      </c>
      <c r="F415" s="71" t="s">
        <v>543</v>
      </c>
      <c r="G415" s="71" t="s">
        <v>837</v>
      </c>
      <c r="H415" s="69">
        <v>16</v>
      </c>
      <c r="I415" s="251">
        <v>16</v>
      </c>
      <c r="J415" s="251">
        <v>16</v>
      </c>
      <c r="K415" s="148"/>
      <c r="M415" s="69">
        <v>16</v>
      </c>
    </row>
    <row r="416" spans="1:13" x14ac:dyDescent="0.25">
      <c r="A416" s="139" t="s">
        <v>776</v>
      </c>
      <c r="B416" s="219" t="s">
        <v>548</v>
      </c>
      <c r="C416" s="139" t="s">
        <v>151</v>
      </c>
      <c r="D416" s="139" t="s">
        <v>157</v>
      </c>
      <c r="E416" s="139" t="s">
        <v>164</v>
      </c>
      <c r="F416" s="71" t="s">
        <v>549</v>
      </c>
      <c r="G416" s="71"/>
      <c r="H416" s="68">
        <f>H417</f>
        <v>0.1</v>
      </c>
      <c r="I416" s="68">
        <f t="shared" ref="I416:J416" si="169">I417</f>
        <v>0.1</v>
      </c>
      <c r="J416" s="68">
        <f t="shared" si="169"/>
        <v>0.1</v>
      </c>
      <c r="K416" s="148"/>
      <c r="M416" s="68">
        <v>0.1</v>
      </c>
    </row>
    <row r="417" spans="1:13" x14ac:dyDescent="0.25">
      <c r="A417" s="71" t="s">
        <v>777</v>
      </c>
      <c r="B417" s="145" t="s">
        <v>545</v>
      </c>
      <c r="C417" s="71" t="s">
        <v>151</v>
      </c>
      <c r="D417" s="71" t="s">
        <v>157</v>
      </c>
      <c r="E417" s="71" t="s">
        <v>164</v>
      </c>
      <c r="F417" s="71" t="s">
        <v>549</v>
      </c>
      <c r="G417" s="71" t="s">
        <v>840</v>
      </c>
      <c r="H417" s="69">
        <v>0.1</v>
      </c>
      <c r="I417" s="251">
        <v>0.1</v>
      </c>
      <c r="J417" s="251">
        <v>0.1</v>
      </c>
      <c r="K417" s="148"/>
      <c r="M417" s="69">
        <v>0.1</v>
      </c>
    </row>
    <row r="418" spans="1:13" ht="40.5" x14ac:dyDescent="0.25">
      <c r="A418" s="247" t="s">
        <v>8</v>
      </c>
      <c r="B418" s="386" t="s">
        <v>63</v>
      </c>
      <c r="C418" s="235" t="s">
        <v>151</v>
      </c>
      <c r="D418" s="235" t="s">
        <v>64</v>
      </c>
      <c r="E418" s="235"/>
      <c r="F418" s="235"/>
      <c r="G418" s="235"/>
      <c r="H418" s="248">
        <f>H419+H424</f>
        <v>142.5</v>
      </c>
      <c r="I418" s="248">
        <f t="shared" ref="I418:J418" si="170">I419+I424</f>
        <v>111.7</v>
      </c>
      <c r="J418" s="248">
        <f t="shared" si="170"/>
        <v>113.1</v>
      </c>
      <c r="K418" s="148"/>
      <c r="M418" s="248">
        <v>142.5</v>
      </c>
    </row>
    <row r="419" spans="1:13" ht="58.5" customHeight="1" x14ac:dyDescent="0.25">
      <c r="A419" s="139" t="s">
        <v>65</v>
      </c>
      <c r="B419" s="219" t="s">
        <v>778</v>
      </c>
      <c r="C419" s="139" t="s">
        <v>151</v>
      </c>
      <c r="D419" s="139" t="s">
        <v>64</v>
      </c>
      <c r="E419" s="139" t="s">
        <v>165</v>
      </c>
      <c r="F419" s="139"/>
      <c r="G419" s="139"/>
      <c r="H419" s="68">
        <f>H420</f>
        <v>116.3</v>
      </c>
      <c r="I419" s="68">
        <f t="shared" ref="I419:J422" si="171">I420</f>
        <v>84</v>
      </c>
      <c r="J419" s="68">
        <f t="shared" si="171"/>
        <v>84</v>
      </c>
      <c r="K419" s="287" t="s">
        <v>851</v>
      </c>
      <c r="M419" s="68">
        <v>116.3</v>
      </c>
    </row>
    <row r="420" spans="1:13" x14ac:dyDescent="0.25">
      <c r="A420" s="139" t="s">
        <v>68</v>
      </c>
      <c r="B420" s="357" t="s">
        <v>49</v>
      </c>
      <c r="C420" s="139" t="s">
        <v>151</v>
      </c>
      <c r="D420" s="139" t="s">
        <v>64</v>
      </c>
      <c r="E420" s="139" t="s">
        <v>165</v>
      </c>
      <c r="F420" s="139" t="s">
        <v>50</v>
      </c>
      <c r="G420" s="139"/>
      <c r="H420" s="68">
        <f>H421</f>
        <v>116.3</v>
      </c>
      <c r="I420" s="68">
        <f t="shared" si="171"/>
        <v>84</v>
      </c>
      <c r="J420" s="68">
        <f t="shared" si="171"/>
        <v>84</v>
      </c>
      <c r="K420" s="148"/>
      <c r="M420" s="67">
        <v>116.3</v>
      </c>
    </row>
    <row r="421" spans="1:13" x14ac:dyDescent="0.25">
      <c r="A421" s="139" t="s">
        <v>569</v>
      </c>
      <c r="B421" s="219" t="s">
        <v>539</v>
      </c>
      <c r="C421" s="139" t="s">
        <v>151</v>
      </c>
      <c r="D421" s="139" t="s">
        <v>64</v>
      </c>
      <c r="E421" s="139" t="s">
        <v>165</v>
      </c>
      <c r="F421" s="139" t="s">
        <v>540</v>
      </c>
      <c r="G421" s="139"/>
      <c r="H421" s="68">
        <f>H422</f>
        <v>116.3</v>
      </c>
      <c r="I421" s="68">
        <f t="shared" si="171"/>
        <v>84</v>
      </c>
      <c r="J421" s="68">
        <f t="shared" si="171"/>
        <v>84</v>
      </c>
      <c r="K421" s="148"/>
      <c r="M421" s="67">
        <v>116.3</v>
      </c>
    </row>
    <row r="422" spans="1:13" x14ac:dyDescent="0.25">
      <c r="A422" s="139" t="s">
        <v>570</v>
      </c>
      <c r="B422" s="219" t="s">
        <v>546</v>
      </c>
      <c r="C422" s="139" t="s">
        <v>151</v>
      </c>
      <c r="D422" s="139" t="s">
        <v>64</v>
      </c>
      <c r="E422" s="139" t="s">
        <v>165</v>
      </c>
      <c r="F422" s="139" t="s">
        <v>547</v>
      </c>
      <c r="G422" s="139"/>
      <c r="H422" s="68">
        <f>H423</f>
        <v>116.3</v>
      </c>
      <c r="I422" s="68">
        <f t="shared" si="171"/>
        <v>84</v>
      </c>
      <c r="J422" s="68">
        <f t="shared" si="171"/>
        <v>84</v>
      </c>
      <c r="K422" s="148"/>
      <c r="M422" s="67">
        <v>116.3</v>
      </c>
    </row>
    <row r="423" spans="1:13" x14ac:dyDescent="0.25">
      <c r="A423" s="71" t="s">
        <v>571</v>
      </c>
      <c r="B423" s="145" t="s">
        <v>545</v>
      </c>
      <c r="C423" s="71" t="s">
        <v>151</v>
      </c>
      <c r="D423" s="71" t="s">
        <v>64</v>
      </c>
      <c r="E423" s="71" t="s">
        <v>165</v>
      </c>
      <c r="F423" s="71" t="s">
        <v>547</v>
      </c>
      <c r="G423" s="71" t="s">
        <v>839</v>
      </c>
      <c r="H423" s="69">
        <f>84+K423</f>
        <v>116.3</v>
      </c>
      <c r="I423" s="251">
        <v>84</v>
      </c>
      <c r="J423" s="251">
        <v>84</v>
      </c>
      <c r="K423" s="232">
        <v>32.299999999999997</v>
      </c>
      <c r="M423" s="238">
        <v>116.3</v>
      </c>
    </row>
    <row r="424" spans="1:13" x14ac:dyDescent="0.25">
      <c r="A424" s="139" t="s">
        <v>69</v>
      </c>
      <c r="B424" s="219" t="s">
        <v>275</v>
      </c>
      <c r="C424" s="139" t="s">
        <v>10</v>
      </c>
      <c r="D424" s="139" t="s">
        <v>64</v>
      </c>
      <c r="E424" s="139" t="s">
        <v>276</v>
      </c>
      <c r="F424" s="139"/>
      <c r="G424" s="71"/>
      <c r="H424" s="253">
        <f>H425</f>
        <v>26.2</v>
      </c>
      <c r="I424" s="253">
        <f t="shared" ref="I424:J428" si="172">I425</f>
        <v>27.7</v>
      </c>
      <c r="J424" s="253">
        <f t="shared" si="172"/>
        <v>29.1</v>
      </c>
      <c r="K424" s="148"/>
      <c r="M424" s="272">
        <v>26.2</v>
      </c>
    </row>
    <row r="425" spans="1:13" ht="37.5" x14ac:dyDescent="0.25">
      <c r="A425" s="139" t="s">
        <v>72</v>
      </c>
      <c r="B425" s="219" t="s">
        <v>46</v>
      </c>
      <c r="C425" s="139" t="s">
        <v>10</v>
      </c>
      <c r="D425" s="139" t="s">
        <v>64</v>
      </c>
      <c r="E425" s="139" t="s">
        <v>276</v>
      </c>
      <c r="F425" s="139" t="s">
        <v>47</v>
      </c>
      <c r="G425" s="71"/>
      <c r="H425" s="68">
        <f>H426</f>
        <v>26.2</v>
      </c>
      <c r="I425" s="68">
        <f t="shared" si="172"/>
        <v>27.7</v>
      </c>
      <c r="J425" s="68">
        <f t="shared" si="172"/>
        <v>29.1</v>
      </c>
      <c r="K425" s="148"/>
      <c r="M425" s="67">
        <v>26.2</v>
      </c>
    </row>
    <row r="426" spans="1:13" ht="56.25" x14ac:dyDescent="0.25">
      <c r="A426" s="139" t="s">
        <v>573</v>
      </c>
      <c r="B426" s="360" t="s">
        <v>507</v>
      </c>
      <c r="C426" s="139" t="s">
        <v>10</v>
      </c>
      <c r="D426" s="139" t="s">
        <v>64</v>
      </c>
      <c r="E426" s="139" t="s">
        <v>276</v>
      </c>
      <c r="F426" s="139" t="s">
        <v>508</v>
      </c>
      <c r="G426" s="71"/>
      <c r="H426" s="68">
        <f>H427</f>
        <v>26.2</v>
      </c>
      <c r="I426" s="68">
        <f t="shared" si="172"/>
        <v>27.7</v>
      </c>
      <c r="J426" s="68">
        <f t="shared" si="172"/>
        <v>29.1</v>
      </c>
      <c r="K426" s="148"/>
      <c r="M426" s="67">
        <v>26.2</v>
      </c>
    </row>
    <row r="427" spans="1:13" ht="56.25" x14ac:dyDescent="0.25">
      <c r="A427" s="139" t="s">
        <v>574</v>
      </c>
      <c r="B427" s="219" t="s">
        <v>527</v>
      </c>
      <c r="C427" s="139" t="s">
        <v>10</v>
      </c>
      <c r="D427" s="139" t="s">
        <v>64</v>
      </c>
      <c r="E427" s="139" t="s">
        <v>276</v>
      </c>
      <c r="F427" s="139" t="s">
        <v>528</v>
      </c>
      <c r="G427" s="71"/>
      <c r="H427" s="68">
        <f>H428</f>
        <v>26.2</v>
      </c>
      <c r="I427" s="68">
        <f t="shared" si="172"/>
        <v>27.7</v>
      </c>
      <c r="J427" s="68">
        <f t="shared" si="172"/>
        <v>29.1</v>
      </c>
      <c r="K427" s="148"/>
      <c r="M427" s="67">
        <v>26.2</v>
      </c>
    </row>
    <row r="428" spans="1:13" x14ac:dyDescent="0.25">
      <c r="A428" s="139" t="s">
        <v>575</v>
      </c>
      <c r="B428" s="219" t="s">
        <v>511</v>
      </c>
      <c r="C428" s="139" t="s">
        <v>10</v>
      </c>
      <c r="D428" s="139" t="s">
        <v>64</v>
      </c>
      <c r="E428" s="139" t="s">
        <v>276</v>
      </c>
      <c r="F428" s="139" t="s">
        <v>528</v>
      </c>
      <c r="G428" s="139" t="s">
        <v>512</v>
      </c>
      <c r="H428" s="68">
        <f>H429</f>
        <v>26.2</v>
      </c>
      <c r="I428" s="68">
        <f t="shared" si="172"/>
        <v>27.7</v>
      </c>
      <c r="J428" s="68">
        <f t="shared" si="172"/>
        <v>29.1</v>
      </c>
      <c r="K428" s="148"/>
      <c r="M428" s="67">
        <v>26.2</v>
      </c>
    </row>
    <row r="429" spans="1:13" x14ac:dyDescent="0.25">
      <c r="A429" s="71" t="s">
        <v>576</v>
      </c>
      <c r="B429" s="145" t="s">
        <v>517</v>
      </c>
      <c r="C429" s="71" t="s">
        <v>10</v>
      </c>
      <c r="D429" s="71" t="s">
        <v>64</v>
      </c>
      <c r="E429" s="71" t="s">
        <v>276</v>
      </c>
      <c r="F429" s="71" t="s">
        <v>528</v>
      </c>
      <c r="G429" s="71" t="s">
        <v>518</v>
      </c>
      <c r="H429" s="69">
        <v>26.2</v>
      </c>
      <c r="I429" s="259">
        <v>27.7</v>
      </c>
      <c r="J429" s="259">
        <v>29.1</v>
      </c>
      <c r="K429" s="148"/>
      <c r="M429" s="238">
        <v>26.2</v>
      </c>
    </row>
    <row r="430" spans="1:13" ht="20.25" x14ac:dyDescent="0.25">
      <c r="A430" s="372" t="s">
        <v>14</v>
      </c>
      <c r="B430" s="361" t="s">
        <v>166</v>
      </c>
      <c r="C430" s="372" t="s">
        <v>151</v>
      </c>
      <c r="D430" s="372" t="s">
        <v>167</v>
      </c>
      <c r="E430" s="372"/>
      <c r="F430" s="372"/>
      <c r="G430" s="372"/>
      <c r="H430" s="380">
        <f t="shared" ref="H430:J435" si="173">H431</f>
        <v>2043.3</v>
      </c>
      <c r="I430" s="380">
        <f t="shared" si="173"/>
        <v>2592.9</v>
      </c>
      <c r="J430" s="380">
        <f t="shared" si="173"/>
        <v>2730.3</v>
      </c>
      <c r="K430" s="148"/>
      <c r="M430" s="274">
        <v>2043.3</v>
      </c>
    </row>
    <row r="431" spans="1:13" x14ac:dyDescent="0.25">
      <c r="A431" s="247" t="s">
        <v>12</v>
      </c>
      <c r="B431" s="222" t="s">
        <v>168</v>
      </c>
      <c r="C431" s="247" t="s">
        <v>151</v>
      </c>
      <c r="D431" s="247" t="s">
        <v>169</v>
      </c>
      <c r="E431" s="247"/>
      <c r="F431" s="247"/>
      <c r="G431" s="247"/>
      <c r="H431" s="248">
        <f t="shared" si="173"/>
        <v>2043.3</v>
      </c>
      <c r="I431" s="248">
        <f t="shared" si="173"/>
        <v>2592.9</v>
      </c>
      <c r="J431" s="248">
        <f t="shared" si="173"/>
        <v>2730.3</v>
      </c>
      <c r="K431" s="148"/>
      <c r="M431" s="271">
        <v>2043.3</v>
      </c>
    </row>
    <row r="432" spans="1:13" ht="201" customHeight="1" x14ac:dyDescent="0.25">
      <c r="A432" s="139" t="s">
        <v>15</v>
      </c>
      <c r="B432" s="219" t="s">
        <v>170</v>
      </c>
      <c r="C432" s="139" t="s">
        <v>151</v>
      </c>
      <c r="D432" s="139" t="s">
        <v>169</v>
      </c>
      <c r="E432" s="139" t="s">
        <v>171</v>
      </c>
      <c r="F432" s="139"/>
      <c r="G432" s="139"/>
      <c r="H432" s="68">
        <f t="shared" si="173"/>
        <v>2043.3</v>
      </c>
      <c r="I432" s="68">
        <f t="shared" si="173"/>
        <v>2592.9</v>
      </c>
      <c r="J432" s="68">
        <f t="shared" si="173"/>
        <v>2730.3</v>
      </c>
      <c r="K432" s="148"/>
      <c r="M432" s="67">
        <v>2043.3</v>
      </c>
    </row>
    <row r="433" spans="1:13" ht="37.5" x14ac:dyDescent="0.25">
      <c r="A433" s="139" t="s">
        <v>13</v>
      </c>
      <c r="B433" s="219" t="s">
        <v>46</v>
      </c>
      <c r="C433" s="139" t="s">
        <v>151</v>
      </c>
      <c r="D433" s="139" t="s">
        <v>169</v>
      </c>
      <c r="E433" s="139" t="s">
        <v>171</v>
      </c>
      <c r="F433" s="139" t="s">
        <v>47</v>
      </c>
      <c r="G433" s="139"/>
      <c r="H433" s="68">
        <f t="shared" si="173"/>
        <v>2043.3</v>
      </c>
      <c r="I433" s="68">
        <f t="shared" si="173"/>
        <v>2592.9</v>
      </c>
      <c r="J433" s="68">
        <f t="shared" si="173"/>
        <v>2730.3</v>
      </c>
      <c r="K433" s="148"/>
      <c r="M433" s="67">
        <v>2043.3</v>
      </c>
    </row>
    <row r="434" spans="1:13" ht="56.25" x14ac:dyDescent="0.25">
      <c r="A434" s="139" t="s">
        <v>372</v>
      </c>
      <c r="B434" s="219" t="s">
        <v>507</v>
      </c>
      <c r="C434" s="139" t="s">
        <v>151</v>
      </c>
      <c r="D434" s="139" t="s">
        <v>169</v>
      </c>
      <c r="E434" s="139" t="s">
        <v>171</v>
      </c>
      <c r="F434" s="139" t="s">
        <v>508</v>
      </c>
      <c r="G434" s="139"/>
      <c r="H434" s="68">
        <f t="shared" si="173"/>
        <v>2043.3</v>
      </c>
      <c r="I434" s="68">
        <f t="shared" si="173"/>
        <v>2592.9</v>
      </c>
      <c r="J434" s="68">
        <f t="shared" si="173"/>
        <v>2730.3</v>
      </c>
      <c r="K434" s="148"/>
      <c r="M434" s="67">
        <v>2043.3</v>
      </c>
    </row>
    <row r="435" spans="1:13" ht="56.25" x14ac:dyDescent="0.25">
      <c r="A435" s="139" t="s">
        <v>400</v>
      </c>
      <c r="B435" s="219" t="s">
        <v>527</v>
      </c>
      <c r="C435" s="139" t="s">
        <v>151</v>
      </c>
      <c r="D435" s="139" t="s">
        <v>169</v>
      </c>
      <c r="E435" s="139" t="s">
        <v>171</v>
      </c>
      <c r="F435" s="139" t="s">
        <v>528</v>
      </c>
      <c r="G435" s="139"/>
      <c r="H435" s="68">
        <f t="shared" si="173"/>
        <v>2043.3</v>
      </c>
      <c r="I435" s="68">
        <f t="shared" si="173"/>
        <v>2592.9</v>
      </c>
      <c r="J435" s="68">
        <f t="shared" si="173"/>
        <v>2730.3</v>
      </c>
      <c r="K435" s="148"/>
      <c r="M435" s="67">
        <v>2043.3</v>
      </c>
    </row>
    <row r="436" spans="1:13" x14ac:dyDescent="0.25">
      <c r="A436" s="71" t="s">
        <v>580</v>
      </c>
      <c r="B436" s="145" t="s">
        <v>517</v>
      </c>
      <c r="C436" s="71" t="s">
        <v>151</v>
      </c>
      <c r="D436" s="71" t="s">
        <v>169</v>
      </c>
      <c r="E436" s="71" t="s">
        <v>171</v>
      </c>
      <c r="F436" s="71" t="s">
        <v>528</v>
      </c>
      <c r="G436" s="71" t="s">
        <v>518</v>
      </c>
      <c r="H436" s="69">
        <v>2043.3</v>
      </c>
      <c r="I436" s="91">
        <v>2592.9</v>
      </c>
      <c r="J436" s="91">
        <v>2730.3</v>
      </c>
      <c r="K436" s="148"/>
      <c r="M436" s="238">
        <v>2043.3</v>
      </c>
    </row>
    <row r="437" spans="1:13" ht="81" x14ac:dyDescent="0.25">
      <c r="A437" s="244" t="s">
        <v>446</v>
      </c>
      <c r="B437" s="387" t="s">
        <v>447</v>
      </c>
      <c r="C437" s="244" t="s">
        <v>448</v>
      </c>
      <c r="D437" s="244"/>
      <c r="E437" s="244"/>
      <c r="F437" s="244"/>
      <c r="G437" s="260"/>
      <c r="H437" s="245">
        <f t="shared" ref="H437:J438" si="174">H438</f>
        <v>0</v>
      </c>
      <c r="I437" s="245">
        <f t="shared" si="174"/>
        <v>2469.8999999999996</v>
      </c>
      <c r="J437" s="245">
        <f t="shared" si="174"/>
        <v>0</v>
      </c>
      <c r="K437" s="148"/>
      <c r="M437" s="276">
        <v>0</v>
      </c>
    </row>
    <row r="438" spans="1:13" ht="20.25" x14ac:dyDescent="0.25">
      <c r="A438" s="372" t="s">
        <v>449</v>
      </c>
      <c r="B438" s="361" t="s">
        <v>31</v>
      </c>
      <c r="C438" s="372" t="s">
        <v>448</v>
      </c>
      <c r="D438" s="372" t="s">
        <v>32</v>
      </c>
      <c r="E438" s="372"/>
      <c r="F438" s="372"/>
      <c r="G438" s="261"/>
      <c r="H438" s="246">
        <f t="shared" si="174"/>
        <v>0</v>
      </c>
      <c r="I438" s="246">
        <f t="shared" si="174"/>
        <v>2469.8999999999996</v>
      </c>
      <c r="J438" s="246">
        <f t="shared" si="174"/>
        <v>0</v>
      </c>
      <c r="K438" s="148"/>
      <c r="M438" s="269">
        <v>0</v>
      </c>
    </row>
    <row r="439" spans="1:13" ht="37.5" x14ac:dyDescent="0.25">
      <c r="A439" s="247" t="s">
        <v>310</v>
      </c>
      <c r="B439" s="370" t="s">
        <v>450</v>
      </c>
      <c r="C439" s="247" t="s">
        <v>448</v>
      </c>
      <c r="D439" s="247" t="s">
        <v>451</v>
      </c>
      <c r="E439" s="247"/>
      <c r="F439" s="247"/>
      <c r="G439" s="262"/>
      <c r="H439" s="248">
        <f>H440+H449</f>
        <v>0</v>
      </c>
      <c r="I439" s="248">
        <f>I440+I449</f>
        <v>2469.8999999999996</v>
      </c>
      <c r="J439" s="248">
        <f>J440+J449</f>
        <v>0</v>
      </c>
      <c r="K439" s="148"/>
      <c r="M439" s="271">
        <v>0</v>
      </c>
    </row>
    <row r="440" spans="1:13" ht="56.25" x14ac:dyDescent="0.25">
      <c r="A440" s="139" t="s">
        <v>289</v>
      </c>
      <c r="B440" s="357" t="s">
        <v>452</v>
      </c>
      <c r="C440" s="139" t="s">
        <v>448</v>
      </c>
      <c r="D440" s="139" t="s">
        <v>451</v>
      </c>
      <c r="E440" s="139" t="s">
        <v>453</v>
      </c>
      <c r="F440" s="139"/>
      <c r="G440" s="263"/>
      <c r="H440" s="68">
        <f t="shared" ref="H440:J441" si="175">H441</f>
        <v>0</v>
      </c>
      <c r="I440" s="68">
        <f t="shared" si="175"/>
        <v>1995.6999999999998</v>
      </c>
      <c r="J440" s="68">
        <f t="shared" si="175"/>
        <v>0</v>
      </c>
      <c r="K440" s="148"/>
      <c r="M440" s="67">
        <v>0</v>
      </c>
    </row>
    <row r="441" spans="1:13" ht="93.75" x14ac:dyDescent="0.25">
      <c r="A441" s="139" t="s">
        <v>454</v>
      </c>
      <c r="B441" s="219" t="s">
        <v>39</v>
      </c>
      <c r="C441" s="139" t="s">
        <v>448</v>
      </c>
      <c r="D441" s="139" t="s">
        <v>451</v>
      </c>
      <c r="E441" s="139" t="s">
        <v>453</v>
      </c>
      <c r="F441" s="139" t="s">
        <v>40</v>
      </c>
      <c r="G441" s="263"/>
      <c r="H441" s="68">
        <f t="shared" si="175"/>
        <v>0</v>
      </c>
      <c r="I441" s="68">
        <f t="shared" si="175"/>
        <v>1995.6999999999998</v>
      </c>
      <c r="J441" s="68">
        <f t="shared" si="175"/>
        <v>0</v>
      </c>
      <c r="K441" s="148"/>
      <c r="M441" s="67">
        <v>0</v>
      </c>
    </row>
    <row r="442" spans="1:13" ht="37.5" x14ac:dyDescent="0.25">
      <c r="A442" s="139" t="s">
        <v>588</v>
      </c>
      <c r="B442" s="384" t="s">
        <v>480</v>
      </c>
      <c r="C442" s="139" t="s">
        <v>448</v>
      </c>
      <c r="D442" s="139" t="s">
        <v>451</v>
      </c>
      <c r="E442" s="139" t="s">
        <v>453</v>
      </c>
      <c r="F442" s="66" t="s">
        <v>481</v>
      </c>
      <c r="G442" s="139"/>
      <c r="H442" s="68">
        <f>H443+H446</f>
        <v>0</v>
      </c>
      <c r="I442" s="68">
        <f>I443+I446</f>
        <v>1995.6999999999998</v>
      </c>
      <c r="J442" s="68">
        <f>J443+J446</f>
        <v>0</v>
      </c>
      <c r="K442" s="148"/>
      <c r="M442" s="67">
        <v>0</v>
      </c>
    </row>
    <row r="443" spans="1:13" ht="56.25" x14ac:dyDescent="0.25">
      <c r="A443" s="139" t="s">
        <v>589</v>
      </c>
      <c r="B443" s="219" t="s">
        <v>483</v>
      </c>
      <c r="C443" s="139" t="s">
        <v>448</v>
      </c>
      <c r="D443" s="139" t="s">
        <v>451</v>
      </c>
      <c r="E443" s="139" t="s">
        <v>453</v>
      </c>
      <c r="F443" s="258" t="s">
        <v>484</v>
      </c>
      <c r="G443" s="264"/>
      <c r="H443" s="68">
        <f>H444</f>
        <v>0</v>
      </c>
      <c r="I443" s="68">
        <f t="shared" ref="I443:J444" si="176">I444</f>
        <v>1552.1</v>
      </c>
      <c r="J443" s="68">
        <f t="shared" si="176"/>
        <v>0</v>
      </c>
      <c r="K443" s="148"/>
      <c r="M443" s="67">
        <v>0</v>
      </c>
    </row>
    <row r="444" spans="1:13" ht="37.5" x14ac:dyDescent="0.25">
      <c r="A444" s="139" t="s">
        <v>590</v>
      </c>
      <c r="B444" s="219" t="s">
        <v>486</v>
      </c>
      <c r="C444" s="139" t="s">
        <v>448</v>
      </c>
      <c r="D444" s="139" t="s">
        <v>451</v>
      </c>
      <c r="E444" s="139" t="s">
        <v>453</v>
      </c>
      <c r="F444" s="139" t="s">
        <v>484</v>
      </c>
      <c r="G444" s="258" t="s">
        <v>487</v>
      </c>
      <c r="H444" s="68">
        <f>H445</f>
        <v>0</v>
      </c>
      <c r="I444" s="68">
        <f t="shared" si="176"/>
        <v>1552.1</v>
      </c>
      <c r="J444" s="68">
        <f t="shared" si="176"/>
        <v>0</v>
      </c>
      <c r="K444" s="148"/>
      <c r="M444" s="67">
        <v>0</v>
      </c>
    </row>
    <row r="445" spans="1:13" x14ac:dyDescent="0.25">
      <c r="A445" s="71" t="s">
        <v>591</v>
      </c>
      <c r="B445" s="145" t="s">
        <v>489</v>
      </c>
      <c r="C445" s="71" t="s">
        <v>448</v>
      </c>
      <c r="D445" s="71" t="s">
        <v>451</v>
      </c>
      <c r="E445" s="71" t="s">
        <v>453</v>
      </c>
      <c r="F445" s="71" t="s">
        <v>484</v>
      </c>
      <c r="G445" s="71" t="s">
        <v>490</v>
      </c>
      <c r="H445" s="69">
        <v>0</v>
      </c>
      <c r="I445" s="69">
        <f>737.1+815</f>
        <v>1552.1</v>
      </c>
      <c r="J445" s="69">
        <v>0</v>
      </c>
      <c r="K445" s="148"/>
      <c r="M445" s="238">
        <v>0</v>
      </c>
    </row>
    <row r="446" spans="1:13" ht="75" x14ac:dyDescent="0.25">
      <c r="A446" s="139" t="s">
        <v>699</v>
      </c>
      <c r="B446" s="219" t="s">
        <v>492</v>
      </c>
      <c r="C446" s="139" t="s">
        <v>448</v>
      </c>
      <c r="D446" s="139" t="s">
        <v>451</v>
      </c>
      <c r="E446" s="139" t="s">
        <v>453</v>
      </c>
      <c r="F446" s="139" t="s">
        <v>493</v>
      </c>
      <c r="G446" s="139"/>
      <c r="H446" s="231">
        <f>H447</f>
        <v>0</v>
      </c>
      <c r="I446" s="153">
        <f t="shared" ref="I446:J447" si="177">I447</f>
        <v>443.6</v>
      </c>
      <c r="J446" s="231">
        <f t="shared" si="177"/>
        <v>0</v>
      </c>
      <c r="K446" s="148"/>
      <c r="M446" s="277">
        <v>0</v>
      </c>
    </row>
    <row r="447" spans="1:13" ht="37.5" x14ac:dyDescent="0.25">
      <c r="A447" s="139" t="s">
        <v>779</v>
      </c>
      <c r="B447" s="219" t="s">
        <v>486</v>
      </c>
      <c r="C447" s="139" t="s">
        <v>448</v>
      </c>
      <c r="D447" s="139" t="s">
        <v>451</v>
      </c>
      <c r="E447" s="139" t="s">
        <v>453</v>
      </c>
      <c r="F447" s="139" t="s">
        <v>493</v>
      </c>
      <c r="G447" s="139" t="s">
        <v>487</v>
      </c>
      <c r="H447" s="231">
        <f>H448</f>
        <v>0</v>
      </c>
      <c r="I447" s="153">
        <f t="shared" si="177"/>
        <v>443.6</v>
      </c>
      <c r="J447" s="231">
        <f t="shared" si="177"/>
        <v>0</v>
      </c>
      <c r="K447" s="148"/>
      <c r="M447" s="277">
        <v>0</v>
      </c>
    </row>
    <row r="448" spans="1:13" x14ac:dyDescent="0.25">
      <c r="A448" s="71" t="s">
        <v>780</v>
      </c>
      <c r="B448" s="145" t="s">
        <v>495</v>
      </c>
      <c r="C448" s="71" t="s">
        <v>448</v>
      </c>
      <c r="D448" s="71" t="s">
        <v>451</v>
      </c>
      <c r="E448" s="71" t="s">
        <v>453</v>
      </c>
      <c r="F448" s="71" t="s">
        <v>493</v>
      </c>
      <c r="G448" s="71" t="s">
        <v>496</v>
      </c>
      <c r="H448" s="388">
        <v>0</v>
      </c>
      <c r="I448" s="265">
        <f>222.7+220.9</f>
        <v>443.6</v>
      </c>
      <c r="J448" s="388">
        <v>0</v>
      </c>
      <c r="K448" s="148"/>
      <c r="M448" s="242">
        <v>0</v>
      </c>
    </row>
    <row r="449" spans="1:13" ht="37.5" x14ac:dyDescent="0.25">
      <c r="A449" s="139" t="s">
        <v>462</v>
      </c>
      <c r="B449" s="219" t="s">
        <v>461</v>
      </c>
      <c r="C449" s="139" t="s">
        <v>448</v>
      </c>
      <c r="D449" s="139" t="s">
        <v>451</v>
      </c>
      <c r="E449" s="139" t="s">
        <v>460</v>
      </c>
      <c r="F449" s="139"/>
      <c r="G449" s="263"/>
      <c r="H449" s="68">
        <f>H450+H458</f>
        <v>0</v>
      </c>
      <c r="I449" s="68">
        <f>I450+I458</f>
        <v>474.20000000000005</v>
      </c>
      <c r="J449" s="68">
        <f>J450+J458</f>
        <v>0</v>
      </c>
      <c r="K449" s="148"/>
      <c r="M449" s="67">
        <v>0</v>
      </c>
    </row>
    <row r="450" spans="1:13" ht="37.5" x14ac:dyDescent="0.25">
      <c r="A450" s="139" t="s">
        <v>463</v>
      </c>
      <c r="B450" s="219" t="s">
        <v>46</v>
      </c>
      <c r="C450" s="139" t="s">
        <v>448</v>
      </c>
      <c r="D450" s="139" t="s">
        <v>451</v>
      </c>
      <c r="E450" s="139" t="s">
        <v>460</v>
      </c>
      <c r="F450" s="139" t="s">
        <v>47</v>
      </c>
      <c r="G450" s="263"/>
      <c r="H450" s="68">
        <f>H451</f>
        <v>0</v>
      </c>
      <c r="I450" s="68">
        <f>I451</f>
        <v>470.20000000000005</v>
      </c>
      <c r="J450" s="68">
        <f>J451</f>
        <v>0</v>
      </c>
      <c r="K450" s="148"/>
      <c r="M450" s="67">
        <v>0</v>
      </c>
    </row>
    <row r="451" spans="1:13" ht="56.25" x14ac:dyDescent="0.25">
      <c r="A451" s="139" t="s">
        <v>781</v>
      </c>
      <c r="B451" s="358" t="s">
        <v>507</v>
      </c>
      <c r="C451" s="139" t="s">
        <v>448</v>
      </c>
      <c r="D451" s="139" t="s">
        <v>451</v>
      </c>
      <c r="E451" s="139" t="s">
        <v>460</v>
      </c>
      <c r="F451" s="139" t="s">
        <v>508</v>
      </c>
      <c r="G451" s="71"/>
      <c r="H451" s="68">
        <f>H452</f>
        <v>0</v>
      </c>
      <c r="I451" s="68">
        <f t="shared" ref="I451:J452" si="178">I452</f>
        <v>470.20000000000005</v>
      </c>
      <c r="J451" s="68">
        <f t="shared" si="178"/>
        <v>0</v>
      </c>
      <c r="K451" s="148"/>
      <c r="M451" s="67">
        <v>0</v>
      </c>
    </row>
    <row r="452" spans="1:13" ht="37.5" x14ac:dyDescent="0.25">
      <c r="A452" s="139" t="s">
        <v>782</v>
      </c>
      <c r="B452" s="358" t="s">
        <v>509</v>
      </c>
      <c r="C452" s="139" t="s">
        <v>448</v>
      </c>
      <c r="D452" s="139" t="s">
        <v>451</v>
      </c>
      <c r="E452" s="139" t="s">
        <v>460</v>
      </c>
      <c r="F452" s="139" t="s">
        <v>528</v>
      </c>
      <c r="G452" s="71"/>
      <c r="H452" s="68">
        <f>H453</f>
        <v>0</v>
      </c>
      <c r="I452" s="68">
        <f>I453+I456</f>
        <v>470.20000000000005</v>
      </c>
      <c r="J452" s="68">
        <f t="shared" si="178"/>
        <v>0</v>
      </c>
      <c r="K452" s="148"/>
      <c r="M452" s="67">
        <v>0</v>
      </c>
    </row>
    <row r="453" spans="1:13" x14ac:dyDescent="0.25">
      <c r="A453" s="139" t="s">
        <v>783</v>
      </c>
      <c r="B453" s="219" t="s">
        <v>511</v>
      </c>
      <c r="C453" s="139" t="s">
        <v>448</v>
      </c>
      <c r="D453" s="139" t="s">
        <v>451</v>
      </c>
      <c r="E453" s="139" t="s">
        <v>460</v>
      </c>
      <c r="F453" s="139" t="s">
        <v>528</v>
      </c>
      <c r="G453" s="139" t="s">
        <v>512</v>
      </c>
      <c r="H453" s="68">
        <f>H454+H455</f>
        <v>0</v>
      </c>
      <c r="I453" s="68">
        <f t="shared" ref="I453:J453" si="179">I454+I455</f>
        <v>336.20000000000005</v>
      </c>
      <c r="J453" s="68">
        <f t="shared" si="179"/>
        <v>0</v>
      </c>
      <c r="K453" s="148"/>
      <c r="M453" s="67">
        <v>0</v>
      </c>
    </row>
    <row r="454" spans="1:13" x14ac:dyDescent="0.25">
      <c r="A454" s="71" t="s">
        <v>784</v>
      </c>
      <c r="B454" s="145" t="s">
        <v>531</v>
      </c>
      <c r="C454" s="71" t="s">
        <v>448</v>
      </c>
      <c r="D454" s="71" t="s">
        <v>451</v>
      </c>
      <c r="E454" s="71" t="s">
        <v>460</v>
      </c>
      <c r="F454" s="71" t="s">
        <v>528</v>
      </c>
      <c r="G454" s="71" t="s">
        <v>532</v>
      </c>
      <c r="H454" s="69">
        <v>0</v>
      </c>
      <c r="I454" s="69">
        <v>68.099999999999994</v>
      </c>
      <c r="J454" s="69">
        <v>0</v>
      </c>
      <c r="K454" s="148"/>
      <c r="M454" s="238">
        <v>0</v>
      </c>
    </row>
    <row r="455" spans="1:13" x14ac:dyDescent="0.25">
      <c r="A455" s="71" t="s">
        <v>785</v>
      </c>
      <c r="B455" s="145" t="s">
        <v>517</v>
      </c>
      <c r="C455" s="71" t="s">
        <v>448</v>
      </c>
      <c r="D455" s="71" t="s">
        <v>451</v>
      </c>
      <c r="E455" s="71" t="s">
        <v>460</v>
      </c>
      <c r="F455" s="71" t="s">
        <v>528</v>
      </c>
      <c r="G455" s="249">
        <v>226</v>
      </c>
      <c r="H455" s="69">
        <v>0</v>
      </c>
      <c r="I455" s="69">
        <v>268.10000000000002</v>
      </c>
      <c r="J455" s="69">
        <v>0</v>
      </c>
      <c r="K455" s="148"/>
      <c r="M455" s="238">
        <v>0</v>
      </c>
    </row>
    <row r="456" spans="1:13" x14ac:dyDescent="0.25">
      <c r="A456" s="139" t="s">
        <v>786</v>
      </c>
      <c r="B456" s="219" t="s">
        <v>520</v>
      </c>
      <c r="C456" s="139" t="s">
        <v>448</v>
      </c>
      <c r="D456" s="139" t="s">
        <v>451</v>
      </c>
      <c r="E456" s="139" t="s">
        <v>460</v>
      </c>
      <c r="F456" s="139" t="s">
        <v>528</v>
      </c>
      <c r="G456" s="139" t="s">
        <v>142</v>
      </c>
      <c r="H456" s="68">
        <f>H457</f>
        <v>0</v>
      </c>
      <c r="I456" s="68">
        <f t="shared" ref="I456:J456" si="180">I457</f>
        <v>134</v>
      </c>
      <c r="J456" s="68">
        <f t="shared" si="180"/>
        <v>0</v>
      </c>
      <c r="K456" s="148"/>
      <c r="M456" s="67">
        <v>0</v>
      </c>
    </row>
    <row r="457" spans="1:13" x14ac:dyDescent="0.25">
      <c r="A457" s="71" t="s">
        <v>787</v>
      </c>
      <c r="B457" s="145" t="s">
        <v>525</v>
      </c>
      <c r="C457" s="71" t="s">
        <v>448</v>
      </c>
      <c r="D457" s="71" t="s">
        <v>451</v>
      </c>
      <c r="E457" s="71" t="s">
        <v>460</v>
      </c>
      <c r="F457" s="71" t="s">
        <v>528</v>
      </c>
      <c r="G457" s="71" t="s">
        <v>526</v>
      </c>
      <c r="H457" s="69">
        <v>0</v>
      </c>
      <c r="I457" s="69">
        <v>134</v>
      </c>
      <c r="J457" s="69">
        <v>0</v>
      </c>
      <c r="K457" s="148"/>
      <c r="M457" s="238">
        <v>0</v>
      </c>
    </row>
    <row r="458" spans="1:13" x14ac:dyDescent="0.25">
      <c r="A458" s="139" t="s">
        <v>464</v>
      </c>
      <c r="B458" s="219" t="s">
        <v>49</v>
      </c>
      <c r="C458" s="139" t="s">
        <v>448</v>
      </c>
      <c r="D458" s="139" t="s">
        <v>451</v>
      </c>
      <c r="E458" s="139" t="s">
        <v>460</v>
      </c>
      <c r="F458" s="139" t="s">
        <v>50</v>
      </c>
      <c r="G458" s="263"/>
      <c r="H458" s="231">
        <f>H459</f>
        <v>0</v>
      </c>
      <c r="I458" s="231">
        <f t="shared" ref="I458:J460" si="181">I459</f>
        <v>4</v>
      </c>
      <c r="J458" s="231">
        <f t="shared" si="181"/>
        <v>0</v>
      </c>
      <c r="K458" s="148"/>
      <c r="M458" s="277">
        <v>0</v>
      </c>
    </row>
    <row r="459" spans="1:13" x14ac:dyDescent="0.25">
      <c r="A459" s="139" t="s">
        <v>788</v>
      </c>
      <c r="B459" s="357" t="s">
        <v>49</v>
      </c>
      <c r="C459" s="139" t="s">
        <v>448</v>
      </c>
      <c r="D459" s="139" t="s">
        <v>451</v>
      </c>
      <c r="E459" s="139" t="s">
        <v>460</v>
      </c>
      <c r="F459" s="139" t="s">
        <v>540</v>
      </c>
      <c r="G459" s="71"/>
      <c r="H459" s="388">
        <f>H460</f>
        <v>0</v>
      </c>
      <c r="I459" s="388">
        <f t="shared" si="181"/>
        <v>4</v>
      </c>
      <c r="J459" s="388">
        <f t="shared" si="181"/>
        <v>0</v>
      </c>
      <c r="K459" s="148"/>
      <c r="M459" s="242">
        <v>0</v>
      </c>
    </row>
    <row r="460" spans="1:13" x14ac:dyDescent="0.25">
      <c r="A460" s="139" t="s">
        <v>789</v>
      </c>
      <c r="B460" s="219" t="s">
        <v>548</v>
      </c>
      <c r="C460" s="139" t="s">
        <v>448</v>
      </c>
      <c r="D460" s="139" t="s">
        <v>451</v>
      </c>
      <c r="E460" s="139" t="s">
        <v>460</v>
      </c>
      <c r="F460" s="139" t="s">
        <v>549</v>
      </c>
      <c r="G460" s="71"/>
      <c r="H460" s="388">
        <f>H461</f>
        <v>0</v>
      </c>
      <c r="I460" s="388">
        <f t="shared" si="181"/>
        <v>4</v>
      </c>
      <c r="J460" s="388">
        <f t="shared" si="181"/>
        <v>0</v>
      </c>
      <c r="K460" s="148"/>
      <c r="M460" s="242">
        <v>0</v>
      </c>
    </row>
    <row r="461" spans="1:13" x14ac:dyDescent="0.25">
      <c r="A461" s="71" t="s">
        <v>790</v>
      </c>
      <c r="B461" s="145" t="s">
        <v>545</v>
      </c>
      <c r="C461" s="71" t="s">
        <v>448</v>
      </c>
      <c r="D461" s="71" t="s">
        <v>451</v>
      </c>
      <c r="E461" s="71" t="s">
        <v>460</v>
      </c>
      <c r="F461" s="71" t="s">
        <v>549</v>
      </c>
      <c r="G461" s="71" t="s">
        <v>840</v>
      </c>
      <c r="H461" s="388">
        <v>0</v>
      </c>
      <c r="I461" s="251">
        <v>4</v>
      </c>
      <c r="J461" s="251">
        <v>0</v>
      </c>
      <c r="K461" s="148"/>
      <c r="M461" s="242">
        <v>0</v>
      </c>
    </row>
    <row r="462" spans="1:13" x14ac:dyDescent="0.25">
      <c r="A462" s="266"/>
      <c r="B462" s="222" t="s">
        <v>172</v>
      </c>
      <c r="C462" s="247"/>
      <c r="D462" s="267"/>
      <c r="E462" s="267"/>
      <c r="F462" s="267"/>
      <c r="G462" s="267"/>
      <c r="H462" s="268">
        <f>H359+H218+H10</f>
        <v>75392.899999999994</v>
      </c>
      <c r="I462" s="268">
        <f>I359+I218+I10+I437</f>
        <v>74241.2</v>
      </c>
      <c r="J462" s="268">
        <f>J359+J218+J10</f>
        <v>80153.8</v>
      </c>
      <c r="K462" s="287" t="s">
        <v>851</v>
      </c>
      <c r="M462" s="268">
        <v>75392.899999999994</v>
      </c>
    </row>
    <row r="464" spans="1:13" x14ac:dyDescent="0.3">
      <c r="K464" s="303">
        <f>SUM(K10:K463)</f>
        <v>795.9</v>
      </c>
      <c r="L464" s="308">
        <f>SUM(L10:L463)</f>
        <v>-5.6843418860808015E-14</v>
      </c>
    </row>
    <row r="465" spans="1:13" x14ac:dyDescent="0.3">
      <c r="B465" s="147" t="s">
        <v>791</v>
      </c>
      <c r="C465" s="134"/>
      <c r="D465" s="410" t="s">
        <v>792</v>
      </c>
      <c r="E465" s="410"/>
    </row>
    <row r="466" spans="1:13" x14ac:dyDescent="0.3">
      <c r="B466" s="223" t="s">
        <v>829</v>
      </c>
      <c r="C466" s="135"/>
      <c r="D466" s="410" t="s">
        <v>835</v>
      </c>
      <c r="E466" s="410"/>
      <c r="H466" s="76"/>
      <c r="M466" s="76"/>
    </row>
    <row r="476" spans="1:13" x14ac:dyDescent="0.3">
      <c r="A476" s="130"/>
      <c r="B476" s="287"/>
      <c r="I476"/>
      <c r="J476"/>
    </row>
    <row r="477" spans="1:13" ht="39" customHeight="1" x14ac:dyDescent="0.3">
      <c r="A477" s="130"/>
      <c r="B477" s="287"/>
      <c r="I477"/>
      <c r="J477"/>
    </row>
    <row r="478" spans="1:13" x14ac:dyDescent="0.3">
      <c r="A478" s="130"/>
      <c r="B478" s="287"/>
      <c r="I478"/>
      <c r="J478"/>
    </row>
    <row r="479" spans="1:13" ht="36" customHeight="1" x14ac:dyDescent="0.3">
      <c r="A479" s="130"/>
      <c r="B479" s="287"/>
      <c r="I479"/>
      <c r="J479"/>
    </row>
    <row r="480" spans="1:13" ht="38.25" customHeight="1" x14ac:dyDescent="0.3">
      <c r="A480" s="130"/>
      <c r="B480" s="287"/>
      <c r="I480"/>
      <c r="J480"/>
    </row>
    <row r="481" spans="1:10" x14ac:dyDescent="0.3">
      <c r="A481" s="130"/>
      <c r="B481" s="287"/>
      <c r="I481"/>
      <c r="J481"/>
    </row>
    <row r="482" spans="1:10" x14ac:dyDescent="0.3">
      <c r="A482" s="130"/>
      <c r="B482" s="287"/>
      <c r="I482"/>
      <c r="J482"/>
    </row>
    <row r="483" spans="1:10" x14ac:dyDescent="0.3">
      <c r="A483" s="130"/>
      <c r="B483" s="287"/>
      <c r="I483"/>
      <c r="J483"/>
    </row>
    <row r="484" spans="1:10" x14ac:dyDescent="0.3">
      <c r="A484" s="130"/>
      <c r="B484" s="287"/>
      <c r="I484"/>
      <c r="J484"/>
    </row>
  </sheetData>
  <autoFilter ref="A9:X462"/>
  <mergeCells count="13">
    <mergeCell ref="M7:M8"/>
    <mergeCell ref="D465:E465"/>
    <mergeCell ref="D466:E466"/>
    <mergeCell ref="A6:J6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40" fitToHeight="0" orientation="portrait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Новые доходы</vt:lpstr>
      <vt:lpstr>ВСР</vt:lpstr>
      <vt:lpstr>Распр бюдж ассигн</vt:lpstr>
      <vt:lpstr>Источники</vt:lpstr>
      <vt:lpstr>СвБРосп2</vt:lpstr>
      <vt:lpstr>ВСР!Область_печати</vt:lpstr>
      <vt:lpstr>Источники!Область_печати</vt:lpstr>
      <vt:lpstr>'Новые доходы'!Область_печати</vt:lpstr>
      <vt:lpstr>'Распр бюдж ассигн'!Область_печати</vt:lpstr>
      <vt:lpstr>СвБРосп2!Область_печати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2018-05-04T11:28:34Z</dcterms:modified>
</cp:coreProperties>
</file>