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codeName="ЭтаКнига" defaultThemeVersion="124226"/>
  <bookViews>
    <workbookView xWindow="0" yWindow="660" windowWidth="1980" windowHeight="1170" activeTab="3"/>
  </bookViews>
  <sheets>
    <sheet name="Доходы" sheetId="11" r:id="rId1"/>
    <sheet name="ВСР" sheetId="8" r:id="rId2"/>
    <sheet name="Прилож.3 Распр.по ассигн." sheetId="9" r:id="rId3"/>
    <sheet name="Приложение 4 Источники" sheetId="10" r:id="rId4"/>
  </sheets>
  <externalReferences>
    <externalReference r:id="rId5"/>
    <externalReference r:id="rId6"/>
  </externalReferences>
  <definedNames>
    <definedName name="_xlnm._FilterDatabase" localSheetId="1" hidden="1">ВСР!$A$8:$G$153</definedName>
    <definedName name="_xlnm._FilterDatabase" localSheetId="2" hidden="1">'Прилож.3 Распр.по ассигн.'!$A$7:$F$143</definedName>
    <definedName name="OLE_LINK1_16" localSheetId="1">#REF!</definedName>
    <definedName name="OLE_LINK1_16" localSheetId="2">#REF!</definedName>
    <definedName name="OLE_LINK1_16">#REF!</definedName>
    <definedName name="Spr_MO" localSheetId="1">#REF!</definedName>
    <definedName name="Spr_MO" localSheetId="2">#REF!</definedName>
    <definedName name="Spr_MO">#REF!</definedName>
    <definedName name="Должность" localSheetId="1">'[1]Форма 2005'!#REF!</definedName>
    <definedName name="Должность" localSheetId="2">'[1]Форма 2005'!#REF!</definedName>
    <definedName name="Должность">'[1]Форма 2005'!#REF!</definedName>
    <definedName name="Заголовок1">[1]Справочник!$B$1:$B$111</definedName>
    <definedName name="_xlnm.Print_Area" localSheetId="1">ВСР!$A$1:$I$153</definedName>
    <definedName name="_xlnm.Print_Area" localSheetId="0">Доходы!$A$1:$G$57</definedName>
    <definedName name="_xlnm.Print_Area" localSheetId="2">'Прилож.3 Распр.по ассигн.'!$A$1:$H$145</definedName>
    <definedName name="_xlnm.Print_Area" localSheetId="3">'Приложение 4 Источники'!$A$1:$E$37</definedName>
    <definedName name="орапроа" localSheetId="0">'[1]Форма 2005'!#REF!</definedName>
    <definedName name="орапроа">'[1]Форма 2005'!#REF!</definedName>
    <definedName name="период">[1]Справочник!$D$1:$D$5</definedName>
    <definedName name="районы">[1]Справочник!$C$1:$C$19</definedName>
  </definedNames>
  <calcPr calcId="144525"/>
</workbook>
</file>

<file path=xl/calcChain.xml><?xml version="1.0" encoding="utf-8"?>
<calcChain xmlns="http://schemas.openxmlformats.org/spreadsheetml/2006/main">
  <c r="F14" i="11" l="1"/>
  <c r="G14" i="11" s="1"/>
  <c r="E21" i="11"/>
  <c r="E14" i="11"/>
  <c r="G34" i="11"/>
  <c r="F34" i="11"/>
  <c r="E34" i="11"/>
  <c r="E33" i="11" s="1"/>
  <c r="E35" i="11"/>
  <c r="H118" i="8" l="1"/>
  <c r="H117" i="8" s="1"/>
  <c r="H116" i="8" s="1"/>
  <c r="I118" i="8"/>
  <c r="I117" i="8" s="1"/>
  <c r="I116" i="8" s="1"/>
  <c r="G117" i="8"/>
  <c r="G116" i="8" s="1"/>
  <c r="G118" i="8"/>
  <c r="I69" i="8"/>
  <c r="H69" i="8"/>
  <c r="E24" i="11"/>
  <c r="F24" i="11" s="1"/>
  <c r="E17" i="11"/>
  <c r="F17" i="11" s="1"/>
  <c r="G17" i="11" s="1"/>
  <c r="F18" i="11"/>
  <c r="F15" i="11"/>
  <c r="D15" i="10"/>
  <c r="D12" i="10" s="1"/>
  <c r="E15" i="10"/>
  <c r="E12" i="10" s="1"/>
  <c r="C15" i="10"/>
  <c r="C13" i="10"/>
  <c r="I115" i="8" l="1"/>
  <c r="H142" i="9"/>
  <c r="H141" i="9" s="1"/>
  <c r="H140" i="9" s="1"/>
  <c r="F142" i="9"/>
  <c r="F141" i="9" s="1"/>
  <c r="F140" i="9" s="1"/>
  <c r="G115" i="8"/>
  <c r="H115" i="8"/>
  <c r="G142" i="9"/>
  <c r="G141" i="9" s="1"/>
  <c r="G140" i="9" s="1"/>
  <c r="C12" i="10"/>
  <c r="G37" i="8"/>
  <c r="G105" i="8"/>
  <c r="G80" i="8"/>
  <c r="G18" i="8"/>
  <c r="G132" i="8"/>
  <c r="I18" i="8" l="1"/>
  <c r="H18" i="8"/>
  <c r="H105" i="8"/>
  <c r="G142" i="8" l="1"/>
  <c r="G69" i="8"/>
  <c r="G101" i="8"/>
  <c r="I29" i="8"/>
  <c r="H47" i="9" s="1"/>
  <c r="H29" i="8"/>
  <c r="G47" i="9" s="1"/>
  <c r="G29" i="8"/>
  <c r="F47" i="9" s="1"/>
  <c r="G99" i="8"/>
  <c r="G17" i="8"/>
  <c r="G16" i="8" s="1"/>
  <c r="G141" i="8" l="1"/>
  <c r="G97" i="8"/>
  <c r="F139" i="9" l="1"/>
  <c r="G22" i="8" l="1"/>
  <c r="H36" i="8" l="1"/>
  <c r="G36" i="8"/>
  <c r="H17" i="8"/>
  <c r="H22" i="8" l="1"/>
  <c r="I132" i="8"/>
  <c r="G15" i="11"/>
  <c r="I99" i="8" l="1"/>
  <c r="H99" i="8"/>
  <c r="H97" i="8"/>
  <c r="G139" i="9" l="1"/>
  <c r="H139" i="9"/>
  <c r="G135" i="9"/>
  <c r="H135" i="9"/>
  <c r="G131" i="9"/>
  <c r="H131" i="9"/>
  <c r="G129" i="9"/>
  <c r="H129" i="9"/>
  <c r="G126" i="9"/>
  <c r="H126" i="9"/>
  <c r="G122" i="9"/>
  <c r="H122" i="9"/>
  <c r="G120" i="9"/>
  <c r="H120" i="9"/>
  <c r="G118" i="9"/>
  <c r="H118" i="9"/>
  <c r="G114" i="9"/>
  <c r="H114" i="9"/>
  <c r="G112" i="9"/>
  <c r="H112" i="9"/>
  <c r="G110" i="9"/>
  <c r="H110" i="9"/>
  <c r="G108" i="9"/>
  <c r="H108" i="9"/>
  <c r="G106" i="9"/>
  <c r="H106" i="9"/>
  <c r="G104" i="9"/>
  <c r="H104" i="9"/>
  <c r="G101" i="9"/>
  <c r="H101" i="9"/>
  <c r="G97" i="9"/>
  <c r="H97" i="9"/>
  <c r="G93" i="9"/>
  <c r="H93" i="9"/>
  <c r="G91" i="9"/>
  <c r="H91" i="9"/>
  <c r="G89" i="9"/>
  <c r="H89" i="9"/>
  <c r="G87" i="9"/>
  <c r="H87" i="9"/>
  <c r="G85" i="9"/>
  <c r="H85" i="9"/>
  <c r="G83" i="9"/>
  <c r="H83" i="9"/>
  <c r="G79" i="9"/>
  <c r="H79" i="9"/>
  <c r="G77" i="9"/>
  <c r="H77" i="9"/>
  <c r="G71" i="9"/>
  <c r="H71" i="9"/>
  <c r="G68" i="9"/>
  <c r="H68" i="9"/>
  <c r="G64" i="9"/>
  <c r="H64" i="9"/>
  <c r="H60" i="9"/>
  <c r="G58" i="9"/>
  <c r="H58" i="9"/>
  <c r="G56" i="9"/>
  <c r="H56" i="9"/>
  <c r="G54" i="9"/>
  <c r="H54" i="9"/>
  <c r="G51" i="9"/>
  <c r="H51" i="9"/>
  <c r="G49" i="9"/>
  <c r="H49" i="9"/>
  <c r="G45" i="9"/>
  <c r="H45" i="9"/>
  <c r="G42" i="9"/>
  <c r="H42" i="9"/>
  <c r="H36" i="9"/>
  <c r="G36" i="9"/>
  <c r="G39" i="9"/>
  <c r="H39" i="9"/>
  <c r="G38" i="9"/>
  <c r="H38" i="9"/>
  <c r="G29" i="9"/>
  <c r="G86" i="8" l="1"/>
  <c r="F104" i="9"/>
  <c r="G61" i="8"/>
  <c r="F120" i="9" l="1"/>
  <c r="G20" i="8" l="1"/>
  <c r="F58" i="9"/>
  <c r="G60" i="9"/>
  <c r="F60" i="9"/>
  <c r="G73" i="9"/>
  <c r="H73" i="9"/>
  <c r="G67" i="9"/>
  <c r="H67" i="9"/>
  <c r="F68" i="9"/>
  <c r="F54" i="9"/>
  <c r="F49" i="9"/>
  <c r="F45" i="9"/>
  <c r="G32" i="9"/>
  <c r="H32" i="9"/>
  <c r="G31" i="9"/>
  <c r="H31" i="9"/>
  <c r="H29" i="9"/>
  <c r="G25" i="9"/>
  <c r="H25" i="9"/>
  <c r="G22" i="9"/>
  <c r="H22" i="9"/>
  <c r="G20" i="9"/>
  <c r="H20" i="9"/>
  <c r="G18" i="9"/>
  <c r="G17" i="9" s="1"/>
  <c r="H18" i="9"/>
  <c r="H17" i="9" s="1"/>
  <c r="G13" i="9"/>
  <c r="H13" i="9"/>
  <c r="F114" i="9" l="1"/>
  <c r="F118" i="9"/>
  <c r="F122" i="9"/>
  <c r="F126" i="9"/>
  <c r="F129" i="9"/>
  <c r="F131" i="9"/>
  <c r="F135" i="9"/>
  <c r="I68" i="8" l="1"/>
  <c r="G92" i="9" l="1"/>
  <c r="H92" i="9"/>
  <c r="F91" i="9"/>
  <c r="F93" i="9"/>
  <c r="F92" i="9" s="1"/>
  <c r="H71" i="8"/>
  <c r="I71" i="8"/>
  <c r="G71" i="8"/>
  <c r="G57" i="8" l="1"/>
  <c r="I61" i="8"/>
  <c r="H81" i="9" s="1"/>
  <c r="H61" i="8"/>
  <c r="G81" i="9" s="1"/>
  <c r="H132" i="8"/>
  <c r="G21" i="9" s="1"/>
  <c r="H28" i="9"/>
  <c r="G28" i="9"/>
  <c r="I17" i="8"/>
  <c r="H27" i="9" s="1"/>
  <c r="G27" i="9"/>
  <c r="G35" i="8"/>
  <c r="I37" i="8"/>
  <c r="H57" i="9" s="1"/>
  <c r="H37" i="8"/>
  <c r="G57" i="9" s="1"/>
  <c r="G147" i="8"/>
  <c r="F138" i="9"/>
  <c r="H21" i="9"/>
  <c r="H19" i="9" s="1"/>
  <c r="G128" i="8" l="1"/>
  <c r="E16" i="11"/>
  <c r="F50" i="11"/>
  <c r="G50" i="11"/>
  <c r="E50" i="11"/>
  <c r="F54" i="11"/>
  <c r="G54" i="11"/>
  <c r="E54" i="11"/>
  <c r="F25" i="11"/>
  <c r="G25" i="11"/>
  <c r="E25" i="11"/>
  <c r="G24" i="11"/>
  <c r="F19" i="11"/>
  <c r="G19" i="11" s="1"/>
  <c r="G18" i="11"/>
  <c r="F21" i="9" l="1"/>
  <c r="G133" i="8"/>
  <c r="F39" i="9" l="1"/>
  <c r="F38" i="9"/>
  <c r="G66" i="9" l="1"/>
  <c r="H66" i="9"/>
  <c r="F67" i="9"/>
  <c r="I47" i="8"/>
  <c r="I46" i="8" s="1"/>
  <c r="H47" i="8"/>
  <c r="H46" i="8" s="1"/>
  <c r="G47" i="8"/>
  <c r="G46" i="8" s="1"/>
  <c r="F66" i="9" l="1"/>
  <c r="H109" i="8"/>
  <c r="H107" i="8"/>
  <c r="H106" i="8" s="1"/>
  <c r="H130" i="8"/>
  <c r="H59" i="9"/>
  <c r="G59" i="9"/>
  <c r="F59" i="9"/>
  <c r="I39" i="8"/>
  <c r="G39" i="8"/>
  <c r="F36" i="9" l="1"/>
  <c r="F34" i="9" s="1"/>
  <c r="G150" i="8" l="1"/>
  <c r="F37" i="9"/>
  <c r="F33" i="9" s="1"/>
  <c r="H27" i="8" l="1"/>
  <c r="I27" i="8"/>
  <c r="G27" i="8"/>
  <c r="F44" i="9"/>
  <c r="H44" i="9"/>
  <c r="G44" i="9"/>
  <c r="H37" i="9" l="1"/>
  <c r="H33" i="9" s="1"/>
  <c r="G37" i="9"/>
  <c r="G33" i="9" s="1"/>
  <c r="D54" i="9" l="1"/>
  <c r="D53" i="9" s="1"/>
  <c r="H53" i="9"/>
  <c r="H52" i="9" s="1"/>
  <c r="G53" i="9"/>
  <c r="G52" i="9" s="1"/>
  <c r="F53" i="9"/>
  <c r="F52" i="9" s="1"/>
  <c r="I33" i="8"/>
  <c r="H33" i="8"/>
  <c r="G33" i="8"/>
  <c r="D52" i="9" l="1"/>
  <c r="D41" i="9" l="1"/>
  <c r="E44" i="11" l="1"/>
  <c r="E43" i="11" s="1"/>
  <c r="G24" i="9" l="1"/>
  <c r="H24" i="9"/>
  <c r="F90" i="9"/>
  <c r="H90" i="9"/>
  <c r="G90" i="9"/>
  <c r="F73" i="9"/>
  <c r="F72" i="9" s="1"/>
  <c r="H72" i="9"/>
  <c r="G72" i="9"/>
  <c r="F48" i="9"/>
  <c r="H48" i="9"/>
  <c r="G48" i="9"/>
  <c r="H113" i="9" l="1"/>
  <c r="G113" i="9"/>
  <c r="E46" i="11"/>
  <c r="I150" i="8"/>
  <c r="H150" i="8"/>
  <c r="I147" i="8"/>
  <c r="H147" i="8"/>
  <c r="I92" i="8"/>
  <c r="H92" i="8"/>
  <c r="G92" i="8"/>
  <c r="F113" i="9" s="1"/>
  <c r="G68" i="8"/>
  <c r="I52" i="8"/>
  <c r="H52" i="8"/>
  <c r="G52" i="8"/>
  <c r="I145" i="8" l="1"/>
  <c r="I146" i="8"/>
  <c r="G145" i="8"/>
  <c r="G144" i="8" s="1"/>
  <c r="G143" i="8" s="1"/>
  <c r="G146" i="8"/>
  <c r="H145" i="8"/>
  <c r="H144" i="8" s="1"/>
  <c r="H143" i="8" s="1"/>
  <c r="H146" i="8"/>
  <c r="G14" i="8"/>
  <c r="G13" i="8" s="1"/>
  <c r="I144" i="8" l="1"/>
  <c r="I143" i="8" s="1"/>
  <c r="G138" i="9" l="1"/>
  <c r="H138" i="9"/>
  <c r="G134" i="9"/>
  <c r="G133" i="9" s="1"/>
  <c r="G132" i="9" s="1"/>
  <c r="H134" i="9"/>
  <c r="H133" i="9" s="1"/>
  <c r="H132" i="9" s="1"/>
  <c r="G130" i="9"/>
  <c r="H130" i="9"/>
  <c r="G128" i="9"/>
  <c r="H128" i="9"/>
  <c r="G125" i="9"/>
  <c r="G124" i="9" s="1"/>
  <c r="H125" i="9"/>
  <c r="H124" i="9" s="1"/>
  <c r="G121" i="9"/>
  <c r="H121" i="9"/>
  <c r="G119" i="9"/>
  <c r="H119" i="9"/>
  <c r="G117" i="9"/>
  <c r="H117" i="9"/>
  <c r="G111" i="9"/>
  <c r="H111" i="9"/>
  <c r="G109" i="9"/>
  <c r="H109" i="9"/>
  <c r="G105" i="9"/>
  <c r="H105" i="9"/>
  <c r="G103" i="9"/>
  <c r="H103" i="9"/>
  <c r="G100" i="9"/>
  <c r="G99" i="9" s="1"/>
  <c r="H100" i="9"/>
  <c r="H99" i="9" s="1"/>
  <c r="G96" i="9"/>
  <c r="G94" i="9" s="1"/>
  <c r="H96" i="9"/>
  <c r="H94" i="9" s="1"/>
  <c r="G88" i="9"/>
  <c r="H88" i="9"/>
  <c r="G86" i="9"/>
  <c r="H86" i="9"/>
  <c r="G84" i="9"/>
  <c r="H84" i="9"/>
  <c r="G82" i="9"/>
  <c r="H82" i="9"/>
  <c r="G80" i="9"/>
  <c r="H80" i="9"/>
  <c r="G78" i="9"/>
  <c r="H78" i="9"/>
  <c r="G76" i="9"/>
  <c r="H76" i="9"/>
  <c r="G70" i="9"/>
  <c r="G65" i="9" s="1"/>
  <c r="H70" i="9"/>
  <c r="H65" i="9" s="1"/>
  <c r="G63" i="9"/>
  <c r="G62" i="9" s="1"/>
  <c r="G61" i="9" s="1"/>
  <c r="H63" i="9"/>
  <c r="H62" i="9" s="1"/>
  <c r="H61" i="9" s="1"/>
  <c r="H107" i="9"/>
  <c r="G107" i="9"/>
  <c r="G55" i="9"/>
  <c r="H55" i="9"/>
  <c r="G50" i="9"/>
  <c r="H50" i="9"/>
  <c r="G46" i="9"/>
  <c r="H46" i="9"/>
  <c r="G41" i="9"/>
  <c r="G40" i="9" s="1"/>
  <c r="H41" i="9"/>
  <c r="H40" i="9" s="1"/>
  <c r="G30" i="9"/>
  <c r="H30" i="9"/>
  <c r="G26" i="9"/>
  <c r="H26" i="9"/>
  <c r="G19" i="9"/>
  <c r="G15" i="9"/>
  <c r="H15" i="9"/>
  <c r="G12" i="9"/>
  <c r="G11" i="9" s="1"/>
  <c r="H12" i="9"/>
  <c r="H11" i="9" s="1"/>
  <c r="H141" i="8"/>
  <c r="H140" i="8" s="1"/>
  <c r="I141" i="8"/>
  <c r="I140" i="8" s="1"/>
  <c r="H137" i="8"/>
  <c r="I137" i="8"/>
  <c r="H135" i="8"/>
  <c r="I135" i="8"/>
  <c r="I130" i="8"/>
  <c r="H128" i="8"/>
  <c r="I128" i="8"/>
  <c r="H126" i="8"/>
  <c r="I126" i="8"/>
  <c r="H123" i="8"/>
  <c r="H122" i="8" s="1"/>
  <c r="I123" i="8"/>
  <c r="I122" i="8" s="1"/>
  <c r="H113" i="8"/>
  <c r="H112" i="8" s="1"/>
  <c r="H111" i="8" s="1"/>
  <c r="I113" i="8"/>
  <c r="I112" i="8" s="1"/>
  <c r="I111" i="8" s="1"/>
  <c r="I109" i="8"/>
  <c r="I107" i="8"/>
  <c r="H104" i="8"/>
  <c r="H103" i="8" s="1"/>
  <c r="I104" i="8"/>
  <c r="I103" i="8" s="1"/>
  <c r="H100" i="8"/>
  <c r="I100" i="8"/>
  <c r="H98" i="8"/>
  <c r="I98" i="8"/>
  <c r="H96" i="8"/>
  <c r="I96" i="8"/>
  <c r="H90" i="8"/>
  <c r="I90" i="8"/>
  <c r="H88" i="8"/>
  <c r="I88" i="8"/>
  <c r="H84" i="8"/>
  <c r="I84" i="8"/>
  <c r="H82" i="8"/>
  <c r="I82" i="8"/>
  <c r="H79" i="8"/>
  <c r="H78" i="8" s="1"/>
  <c r="I79" i="8"/>
  <c r="I78" i="8" s="1"/>
  <c r="H75" i="8"/>
  <c r="H73" i="8" s="1"/>
  <c r="I75" i="8"/>
  <c r="I73" i="8" s="1"/>
  <c r="H68" i="8"/>
  <c r="H66" i="8"/>
  <c r="I66" i="8"/>
  <c r="H64" i="8"/>
  <c r="I64" i="8"/>
  <c r="H62" i="8"/>
  <c r="I62" i="8"/>
  <c r="H60" i="8"/>
  <c r="I60" i="8"/>
  <c r="H58" i="8"/>
  <c r="I58" i="8"/>
  <c r="H56" i="8"/>
  <c r="I56" i="8"/>
  <c r="H50" i="8"/>
  <c r="H49" i="8" s="1"/>
  <c r="H45" i="8" s="1"/>
  <c r="I50" i="8"/>
  <c r="I49" i="8" s="1"/>
  <c r="I45" i="8" s="1"/>
  <c r="H43" i="8"/>
  <c r="H42" i="8" s="1"/>
  <c r="H41" i="8" s="1"/>
  <c r="I43" i="8"/>
  <c r="I42" i="8" s="1"/>
  <c r="I41" i="8" s="1"/>
  <c r="H86" i="8"/>
  <c r="I86" i="8"/>
  <c r="H35" i="8"/>
  <c r="I35" i="8"/>
  <c r="I26" i="8" s="1"/>
  <c r="H31" i="8"/>
  <c r="I31" i="8"/>
  <c r="H24" i="8"/>
  <c r="H23" i="8" s="1"/>
  <c r="I24" i="8"/>
  <c r="I23" i="8" s="1"/>
  <c r="H20" i="8"/>
  <c r="I20" i="8"/>
  <c r="H16" i="8"/>
  <c r="I16" i="8"/>
  <c r="H14" i="8"/>
  <c r="I14" i="8"/>
  <c r="G33" i="11"/>
  <c r="G32" i="11" s="1"/>
  <c r="G16" i="11"/>
  <c r="G13" i="11"/>
  <c r="F20" i="11"/>
  <c r="F13" i="11"/>
  <c r="F33" i="11"/>
  <c r="F32" i="11" s="1"/>
  <c r="F30" i="11"/>
  <c r="G30" i="11"/>
  <c r="F23" i="11"/>
  <c r="G23" i="11"/>
  <c r="G20" i="11"/>
  <c r="F16" i="11"/>
  <c r="I106" i="8" l="1"/>
  <c r="H43" i="9"/>
  <c r="G43" i="9"/>
  <c r="H23" i="9"/>
  <c r="G23" i="9"/>
  <c r="I55" i="8"/>
  <c r="I54" i="8" s="1"/>
  <c r="H13" i="8"/>
  <c r="H55" i="8"/>
  <c r="H54" i="8" s="1"/>
  <c r="I95" i="8"/>
  <c r="I94" i="8" s="1"/>
  <c r="I13" i="8"/>
  <c r="H95" i="8"/>
  <c r="H94" i="8" s="1"/>
  <c r="H139" i="8"/>
  <c r="G136" i="9" s="1"/>
  <c r="G137" i="9"/>
  <c r="I139" i="8"/>
  <c r="H136" i="9" s="1"/>
  <c r="H137" i="9"/>
  <c r="G75" i="9"/>
  <c r="G74" i="9" s="1"/>
  <c r="H75" i="9"/>
  <c r="H74" i="9" s="1"/>
  <c r="H134" i="8"/>
  <c r="I134" i="8"/>
  <c r="G116" i="9"/>
  <c r="G115" i="9" s="1"/>
  <c r="G102" i="9"/>
  <c r="G98" i="9" s="1"/>
  <c r="I81" i="8"/>
  <c r="I77" i="8" s="1"/>
  <c r="H81" i="8"/>
  <c r="H77" i="8" s="1"/>
  <c r="H102" i="9"/>
  <c r="H98" i="9" s="1"/>
  <c r="H116" i="9"/>
  <c r="H115" i="9" s="1"/>
  <c r="H69" i="9"/>
  <c r="G69" i="9"/>
  <c r="H14" i="9"/>
  <c r="G14" i="9"/>
  <c r="I125" i="8"/>
  <c r="H125" i="8"/>
  <c r="G28" i="11"/>
  <c r="F28" i="11"/>
  <c r="G95" i="9"/>
  <c r="H95" i="9"/>
  <c r="H74" i="8"/>
  <c r="I74" i="8"/>
  <c r="G12" i="11"/>
  <c r="G11" i="11" s="1"/>
  <c r="F12" i="11"/>
  <c r="F11" i="11" s="1"/>
  <c r="F49" i="11"/>
  <c r="G49" i="11"/>
  <c r="F53" i="11"/>
  <c r="G53" i="11"/>
  <c r="G10" i="11" l="1"/>
  <c r="F10" i="11"/>
  <c r="I12" i="8"/>
  <c r="H102" i="8"/>
  <c r="G127" i="9"/>
  <c r="G123" i="9" s="1"/>
  <c r="G143" i="9" s="1"/>
  <c r="I102" i="8"/>
  <c r="H127" i="9"/>
  <c r="H123" i="9" s="1"/>
  <c r="H143" i="9" s="1"/>
  <c r="I121" i="8"/>
  <c r="I120" i="8" s="1"/>
  <c r="H10" i="9"/>
  <c r="G10" i="9"/>
  <c r="H121" i="8"/>
  <c r="H120" i="8" s="1"/>
  <c r="G48" i="11"/>
  <c r="G42" i="11" s="1"/>
  <c r="G41" i="11" s="1"/>
  <c r="F48" i="11"/>
  <c r="F42" i="11" s="1"/>
  <c r="F41" i="11" s="1"/>
  <c r="I11" i="8" l="1"/>
  <c r="I153" i="8" s="1"/>
  <c r="G57" i="11"/>
  <c r="E21" i="10" s="1"/>
  <c r="E20" i="10" s="1"/>
  <c r="E19" i="10" s="1"/>
  <c r="E18" i="10" s="1"/>
  <c r="F57" i="11"/>
  <c r="D21" i="10" s="1"/>
  <c r="D20" i="10" s="1"/>
  <c r="D19" i="10" s="1"/>
  <c r="D18" i="10" s="1"/>
  <c r="E20" i="11"/>
  <c r="E13" i="11"/>
  <c r="E12" i="11" s="1"/>
  <c r="E25" i="10" l="1"/>
  <c r="E24" i="10" s="1"/>
  <c r="E23" i="10" s="1"/>
  <c r="E22" i="10" s="1"/>
  <c r="E17" i="10" l="1"/>
  <c r="E11" i="10" s="1"/>
  <c r="E53" i="11"/>
  <c r="E49" i="11"/>
  <c r="E32" i="11"/>
  <c r="E30" i="11"/>
  <c r="E23" i="11"/>
  <c r="E11" i="11" s="1"/>
  <c r="E48" i="11" l="1"/>
  <c r="E42" i="11" s="1"/>
  <c r="E28" i="11"/>
  <c r="E10" i="11" s="1"/>
  <c r="E41" i="11" l="1"/>
  <c r="E57" i="11" l="1"/>
  <c r="C21" i="10" s="1"/>
  <c r="G79" i="8" l="1"/>
  <c r="G31" i="8" l="1"/>
  <c r="G26" i="8" s="1"/>
  <c r="G135" i="8"/>
  <c r="F46" i="9" l="1"/>
  <c r="C20" i="10" l="1"/>
  <c r="C19" i="10" s="1"/>
  <c r="C18" i="10" s="1"/>
  <c r="F112" i="9" l="1"/>
  <c r="F111" i="9" s="1"/>
  <c r="F110" i="9"/>
  <c r="F109" i="9" s="1"/>
  <c r="F106" i="9"/>
  <c r="F105" i="9" s="1"/>
  <c r="F103" i="9"/>
  <c r="F101" i="9"/>
  <c r="F100" i="9" s="1"/>
  <c r="F99" i="9" s="1"/>
  <c r="F97" i="9"/>
  <c r="F96" i="9" s="1"/>
  <c r="F89" i="9"/>
  <c r="F88" i="9" s="1"/>
  <c r="F87" i="9"/>
  <c r="F86" i="9" s="1"/>
  <c r="F85" i="9"/>
  <c r="F84" i="9" s="1"/>
  <c r="F83" i="9"/>
  <c r="F82" i="9" s="1"/>
  <c r="F81" i="9"/>
  <c r="F80" i="9" s="1"/>
  <c r="F79" i="9"/>
  <c r="F78" i="9" s="1"/>
  <c r="F77" i="9"/>
  <c r="F76" i="9" s="1"/>
  <c r="F71" i="9"/>
  <c r="F70" i="9" s="1"/>
  <c r="F65" i="9" s="1"/>
  <c r="F64" i="9"/>
  <c r="F63" i="9" s="1"/>
  <c r="F62" i="9" s="1"/>
  <c r="F61" i="9" s="1"/>
  <c r="F108" i="9"/>
  <c r="F107" i="9" s="1"/>
  <c r="F57" i="9"/>
  <c r="F56" i="9"/>
  <c r="F51" i="9"/>
  <c r="F50" i="9" s="1"/>
  <c r="F42" i="9"/>
  <c r="F41" i="9" s="1"/>
  <c r="F40" i="9" s="1"/>
  <c r="F32" i="9"/>
  <c r="F31" i="9"/>
  <c r="F29" i="9"/>
  <c r="F28" i="9"/>
  <c r="F27" i="9"/>
  <c r="F25" i="9"/>
  <c r="F24" i="9" s="1"/>
  <c r="F22" i="9"/>
  <c r="F20" i="9"/>
  <c r="F18" i="9"/>
  <c r="F17" i="9" s="1"/>
  <c r="F16" i="9"/>
  <c r="F15" i="9" s="1"/>
  <c r="F13" i="9"/>
  <c r="F12" i="9" s="1"/>
  <c r="F11" i="9" s="1"/>
  <c r="D138" i="9"/>
  <c r="D130" i="9"/>
  <c r="D128" i="9"/>
  <c r="D125" i="9"/>
  <c r="D121" i="9"/>
  <c r="D117" i="9"/>
  <c r="D111" i="9"/>
  <c r="D109" i="9"/>
  <c r="D106" i="9"/>
  <c r="D105" i="9"/>
  <c r="D103" i="9"/>
  <c r="D96" i="9"/>
  <c r="D80" i="9"/>
  <c r="D77" i="9"/>
  <c r="D76" i="9"/>
  <c r="D70" i="9"/>
  <c r="D63" i="9"/>
  <c r="D107" i="9"/>
  <c r="D55" i="9"/>
  <c r="D50" i="9"/>
  <c r="D30" i="9"/>
  <c r="D26" i="9"/>
  <c r="D24" i="9"/>
  <c r="D19" i="9"/>
  <c r="D17" i="9"/>
  <c r="D15" i="9"/>
  <c r="D13" i="9"/>
  <c r="D12" i="9"/>
  <c r="F75" i="9" l="1"/>
  <c r="F74" i="9" s="1"/>
  <c r="F69" i="9"/>
  <c r="F102" i="9"/>
  <c r="F98" i="9" s="1"/>
  <c r="F55" i="9"/>
  <c r="F43" i="9" s="1"/>
  <c r="F26" i="9"/>
  <c r="F30" i="9"/>
  <c r="F19" i="9"/>
  <c r="F14" i="9" s="1"/>
  <c r="F95" i="9"/>
  <c r="F94" i="9"/>
  <c r="F23" i="9" l="1"/>
  <c r="F10" i="9" s="1"/>
  <c r="G98" i="8"/>
  <c r="F119" i="9" s="1"/>
  <c r="G113" i="8"/>
  <c r="G112" i="8" l="1"/>
  <c r="F134" i="9"/>
  <c r="G140" i="8"/>
  <c r="G137" i="8"/>
  <c r="G134" i="8" s="1"/>
  <c r="G130" i="8"/>
  <c r="G126" i="8"/>
  <c r="G123" i="8"/>
  <c r="G122" i="8" s="1"/>
  <c r="G109" i="8"/>
  <c r="F130" i="9" s="1"/>
  <c r="G107" i="8"/>
  <c r="G100" i="8"/>
  <c r="F121" i="9" s="1"/>
  <c r="G96" i="8"/>
  <c r="G90" i="8"/>
  <c r="G88" i="8"/>
  <c r="G84" i="8"/>
  <c r="G82" i="8"/>
  <c r="G78" i="8"/>
  <c r="G75" i="8"/>
  <c r="G74" i="8" s="1"/>
  <c r="G66" i="8"/>
  <c r="G64" i="8"/>
  <c r="G62" i="8"/>
  <c r="G60" i="8"/>
  <c r="G58" i="8"/>
  <c r="G56" i="8"/>
  <c r="G50" i="8"/>
  <c r="G49" i="8" s="1"/>
  <c r="G45" i="8" s="1"/>
  <c r="G43" i="8"/>
  <c r="G42" i="8" s="1"/>
  <c r="G41" i="8" s="1"/>
  <c r="G24" i="8"/>
  <c r="G23" i="8" s="1"/>
  <c r="G12" i="8" s="1"/>
  <c r="F128" i="9" l="1"/>
  <c r="G106" i="8"/>
  <c r="G55" i="8"/>
  <c r="G54" i="8" s="1"/>
  <c r="F117" i="9"/>
  <c r="G95" i="8"/>
  <c r="G139" i="8"/>
  <c r="F136" i="9" s="1"/>
  <c r="F137" i="9"/>
  <c r="G111" i="8"/>
  <c r="F132" i="9" s="1"/>
  <c r="F133" i="9"/>
  <c r="F127" i="9"/>
  <c r="G81" i="8"/>
  <c r="G77" i="8" s="1"/>
  <c r="G125" i="8"/>
  <c r="G121" i="8" s="1"/>
  <c r="G73" i="8"/>
  <c r="G120" i="8" l="1"/>
  <c r="G94" i="8"/>
  <c r="F115" i="9" s="1"/>
  <c r="F116" i="9"/>
  <c r="G104" i="8"/>
  <c r="G103" i="8" l="1"/>
  <c r="F125" i="9"/>
  <c r="G102" i="8" l="1"/>
  <c r="F124" i="9"/>
  <c r="F123" i="9" l="1"/>
  <c r="F143" i="9" s="1"/>
  <c r="F147" i="9" s="1"/>
  <c r="G11" i="8"/>
  <c r="H39" i="8"/>
  <c r="H26" i="8" s="1"/>
  <c r="G153" i="8" l="1"/>
  <c r="C25" i="10" s="1"/>
  <c r="C24" i="10" s="1"/>
  <c r="C23" i="10" s="1"/>
  <c r="H12" i="8"/>
  <c r="C17" i="10" l="1"/>
  <c r="C11" i="10" s="1"/>
  <c r="H11" i="8"/>
  <c r="H153" i="8" s="1"/>
  <c r="D25" i="10" s="1"/>
  <c r="D24" i="10" s="1"/>
  <c r="D23" i="10" s="1"/>
  <c r="C22" i="10"/>
  <c r="D17" i="10" l="1"/>
  <c r="D11" i="10" s="1"/>
  <c r="D22" i="10"/>
</calcChain>
</file>

<file path=xl/sharedStrings.xml><?xml version="1.0" encoding="utf-8"?>
<sst xmlns="http://schemas.openxmlformats.org/spreadsheetml/2006/main" count="1554" uniqueCount="595">
  <si>
    <t>1.1</t>
  </si>
  <si>
    <t>1.1.1</t>
  </si>
  <si>
    <t>1.1.1.1</t>
  </si>
  <si>
    <t>1.1.2</t>
  </si>
  <si>
    <t>1.1.2.1</t>
  </si>
  <si>
    <t>1.1.2.2</t>
  </si>
  <si>
    <t>1.1.3</t>
  </si>
  <si>
    <t>1.1.3.1</t>
  </si>
  <si>
    <t>1.3</t>
  </si>
  <si>
    <t>1.4</t>
  </si>
  <si>
    <t>903</t>
  </si>
  <si>
    <t>1.5</t>
  </si>
  <si>
    <t>2.1</t>
  </si>
  <si>
    <t>2.1.1.1</t>
  </si>
  <si>
    <t>2</t>
  </si>
  <si>
    <t>2.1.1</t>
  </si>
  <si>
    <t>МО Адмиралтейский округ</t>
  </si>
  <si>
    <t>к Решению Муниципального Совета</t>
  </si>
  <si>
    <t>№ п.п</t>
  </si>
  <si>
    <t>Наименование</t>
  </si>
  <si>
    <t>Код ГРБС</t>
  </si>
  <si>
    <t>Код ЦСР</t>
  </si>
  <si>
    <t>Код ВР</t>
  </si>
  <si>
    <t>3</t>
  </si>
  <si>
    <t>4</t>
  </si>
  <si>
    <t>5</t>
  </si>
  <si>
    <t>6</t>
  </si>
  <si>
    <t>I.</t>
  </si>
  <si>
    <t>1</t>
  </si>
  <si>
    <t>ОБЩЕГОСУДАРСТВЕННЫЕ ВОПРОСЫ</t>
  </si>
  <si>
    <t>0100</t>
  </si>
  <si>
    <t>1.1.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</si>
  <si>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</si>
  <si>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0104</t>
  </si>
  <si>
    <t>1.1.1.</t>
  </si>
  <si>
    <t>Глава местной  Администрации</t>
  </si>
  <si>
    <t>00205 00030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</si>
  <si>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</si>
  <si>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</si>
  <si>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1.2</t>
  </si>
  <si>
    <t xml:space="preserve">Содержание и обеспечение деятельности  местной Администрации муниципального образования муниципальный округ Адмиралтейский округ  по решению вопросов местного значения </t>
  </si>
  <si>
    <t>00206 00030</t>
  </si>
  <si>
    <t>1.2.1</t>
  </si>
  <si>
    <t>1.2.2</t>
  </si>
  <si>
    <t>Закупка товаров, работ и услуг для государственных (муниципальных) нужд</t>
  </si>
  <si>
    <t>200</t>
  </si>
  <si>
    <t>1.2.3</t>
  </si>
  <si>
    <t>Иные бюджетные ассигнования</t>
  </si>
  <si>
    <t>800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</si>
  <si>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</si>
  <si>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09200 G0100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</si>
  <si>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</si>
  <si>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00200 G0850</t>
  </si>
  <si>
    <t>РЕЗЕРВНЫЕ ФОНДЫ</t>
  </si>
  <si>
    <t>0111</t>
  </si>
  <si>
    <t>Резервный фонд местной администрации</t>
  </si>
  <si>
    <t>07001 00060</t>
  </si>
  <si>
    <t>1.2.1.1</t>
  </si>
  <si>
    <t>ДРУГИЕ ОБЩЕГОСУДАРСТВЕННЫЕ ВОПРОСЫ</t>
  </si>
  <si>
    <t>0113</t>
  </si>
  <si>
    <t>1.3.1</t>
  </si>
  <si>
    <t>Формирование и размещение муниципального заказа</t>
  </si>
  <si>
    <t>09201 00070</t>
  </si>
  <si>
    <t>1.3.1.1</t>
  </si>
  <si>
    <t>1.3.2</t>
  </si>
  <si>
    <t>Содержание  Санкт-Петербургского муниципального казенного учреждения "Управление по работе с населением муниципального образования муниципальный округ Адмиралтейский округ"</t>
  </si>
  <si>
    <t>09201 00460</t>
  </si>
  <si>
    <t>1.3.2.1</t>
  </si>
  <si>
    <t>1.3.3</t>
  </si>
  <si>
    <t>1.3.3.1</t>
  </si>
  <si>
    <t>1.3.4</t>
  </si>
  <si>
    <t xml:space="preserve">Муниципальная  программа "Участие органов местного самоуправления муниципального образования муниципальный округ Адмиралтейский округ в профилактике терроризма и экстремизма, а также по минимизации и (или) ликвидации последствий его проявлений на территории муниципального образования муниципальный округ Адмиралтейский округ " </t>
  </si>
  <si>
    <t>79508 00520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</si>
  <si>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</si>
  <si>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</si>
  <si>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</si>
  <si>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</si>
  <si>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Муниципальная  программа "Организация мероприятий по подготовке и обучению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 на территории муниципального образования муниципальный округ Адмиралтейский округ"</t>
  </si>
  <si>
    <t>21900 00090</t>
  </si>
  <si>
    <t>НАЦИОНАЛЬНАЯ ЭКОНОМИКА</t>
  </si>
  <si>
    <t>0400</t>
  </si>
  <si>
    <t>Другие вопросы в области национальной экономики</t>
  </si>
  <si>
    <t>0412</t>
  </si>
  <si>
    <t>34500 00100</t>
  </si>
  <si>
    <t>ЖИЛИЩНО-КОММУНАЛЬНОЕ ХОЗЯЙСТВО</t>
  </si>
  <si>
    <t>0500</t>
  </si>
  <si>
    <t>БЛАГОУСТРОЙСТВО</t>
  </si>
  <si>
    <t>0503</t>
  </si>
  <si>
    <t>Муниципальная программа "Установка, содержание и ремонт ограждений газонов"</t>
  </si>
  <si>
    <t>60001 00132</t>
  </si>
  <si>
    <t>Муниципальная программа "Установка и содержание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образования"</t>
  </si>
  <si>
    <t>Муниципальная программа "Озеленение территорий зеленых насаждений внутриквартального озеленения"</t>
  </si>
  <si>
    <t>60003 00151</t>
  </si>
  <si>
    <t>Муниципальная программа "Организация работ по компенсационному озеленению"</t>
  </si>
  <si>
    <t>Муниципальная программа "Проведение санитарных рубок, удаление аварийных, больных деревьев и кустарников в отношении зеленых насаждений внутриквартального озеленения"</t>
  </si>
  <si>
    <t>Муниципальная программа "Обустройство, содержание  и уборка территории детских площадок"</t>
  </si>
  <si>
    <t>Муниципальная программа "Текущий ремонт  придомовых территорий и дворовых территорий, включая проезды и въезды, пешеходные дорожки"</t>
  </si>
  <si>
    <t>60007 00160</t>
  </si>
  <si>
    <t>ОХРАНА ОКРУЖАЮЩЕЙ СРЕДЫ</t>
  </si>
  <si>
    <t>0600</t>
  </si>
  <si>
    <t>Другие вопросы  в области охраны окружающей среды</t>
  </si>
  <si>
    <t>0605</t>
  </si>
  <si>
    <t>Муниципальная  программа "Участие в мероприятиях по охране окружающей среды в границах  муниципального образования муниципальный округ Адмиралтейский округ"</t>
  </si>
  <si>
    <t>41000 00170</t>
  </si>
  <si>
    <t>ОБРАЗОВАНИЕ</t>
  </si>
  <si>
    <t>0700</t>
  </si>
  <si>
    <t>Профессиональная подготовка, переподготовка и повышение квалификации</t>
  </si>
  <si>
    <t>0705</t>
  </si>
  <si>
    <t>Переподготовка, повышение квалификации</t>
  </si>
  <si>
    <t>42801 00180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</si>
  <si>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</si>
  <si>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Муниципальная  программа "Проведение работ по военно-патриотическому воспитанию граждан Российской Федерации на территории муниципального образования муниципальный округ Адмиралтейский округ"</t>
  </si>
  <si>
    <t>79505 00190</t>
  </si>
  <si>
    <t>ДРУГИЕ ВОПРОСЫ В ОБЛАСТИ ОБРАЗОВАНИЯ</t>
  </si>
  <si>
    <t>0709</t>
  </si>
  <si>
    <t>Муниципальная программа "Участие в деятельности по профилактике правонарушений в Санкт-Петербурге на территории муниципального образования муниципальный округ  Адмиралтейский округ"</t>
  </si>
  <si>
    <t>79506 00510</t>
  </si>
  <si>
    <t>Муниципальная  программа «Участие в реализации мер по профилактике дорожно-транспортного травматизма на территории муниципального образования муниципальный округ Адмиралтейский округ»</t>
  </si>
  <si>
    <t>79512 00490</t>
  </si>
  <si>
    <t>79514 00530</t>
  </si>
  <si>
    <t>КУЛЬТУРА, КИНЕМАТОГРАФИЯ</t>
  </si>
  <si>
    <t>0800</t>
  </si>
  <si>
    <t>КУЛЬТУРА</t>
  </si>
  <si>
    <t>0801</t>
  </si>
  <si>
    <t>Муниципальная  программа "Организация местных и участие в организации и проведении городских праздничных и иных зрелищных мероприятий"</t>
  </si>
  <si>
    <t xml:space="preserve">0801 </t>
  </si>
  <si>
    <t>45011 00200</t>
  </si>
  <si>
    <t>Муниципальная программа "Организация и проведение досуговых мероприятий для жителей муниципального образования муниципальный округ Адмиралтейский округ"</t>
  </si>
  <si>
    <t>45009 00560</t>
  </si>
  <si>
    <t>СОЦИАЛЬНАЯ ПОЛИТИКА</t>
  </si>
  <si>
    <t>1000</t>
  </si>
  <si>
    <t>СОЦИАЛЬНОЕ ОБЕСПЕЧЕНИЕ НАСЕЛЕНИЯ</t>
  </si>
  <si>
    <t>50581 00230</t>
  </si>
  <si>
    <t>Социальное обеспечение и иные выплаты населению</t>
  </si>
  <si>
    <t>300</t>
  </si>
  <si>
    <t>ОХРАНА СЕМЬИ И ДЕТСВА</t>
  </si>
  <si>
    <t>1004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</si>
  <si>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</si>
  <si>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51100 G0860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</si>
  <si>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</si>
  <si>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51100 G0870</t>
  </si>
  <si>
    <t>II.</t>
  </si>
  <si>
    <t xml:space="preserve">МУНИЦИПАЛЬНЫЙ СОВЕТ МУНИЦИПАЛЬНОГО ОБРАЗОВАНИЯ МУНИЦИПАЛЬНЫЙ ОКРУГ АДМИРАЛТЕЙСКИЙ ОКРУГ </t>
  </si>
  <si>
    <t>992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</si>
  <si>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</si>
  <si>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</si>
  <si>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 МО Адмиралтейский округ</t>
  </si>
  <si>
    <t>00201 00010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</si>
  <si>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</si>
  <si>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</si>
  <si>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Расходы на содержание депутатов муниципального совета, осуществляющих свою деятельность на постоянной основе</t>
  </si>
  <si>
    <t>00203 00021</t>
  </si>
  <si>
    <t>Расходы на выплаты персоналу в целях
обеспечения выполнения функций
государственными (муниципальными)
органами, казенными учреждениями,
органами управления государственными
внебюджетными фондами</t>
  </si>
  <si>
    <t>Компенсация депутатам,  осуществляющим свои полномочия на непостоянной основе</t>
  </si>
  <si>
    <t>00203 00022</t>
  </si>
  <si>
    <t>Аппарат представительного органа муниципального образования</t>
  </si>
  <si>
    <t>00204 00020</t>
  </si>
  <si>
    <t>09205 00440</t>
  </si>
  <si>
    <t>СРЕДСТВА МАССОВОЙ ИНФОРМАЦИИ</t>
  </si>
  <si>
    <t>1200</t>
  </si>
  <si>
    <t>ПЕРИОДИЧЕСКАЯ ПЕЧАТЬ И ИЗДАТЕЛЬСТВА</t>
  </si>
  <si>
    <t>1202</t>
  </si>
  <si>
    <t>Расходы на выпуск и распространение  периодического издания  газеты муниципального образования  МО Адмиралтейский округ "Адмиралтейский Вестник", для опубликования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</si>
  <si>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45701 00250</t>
  </si>
  <si>
    <t>ВСЕГО РАСХОДОВ:</t>
  </si>
  <si>
    <t>1100</t>
  </si>
  <si>
    <t>1102</t>
  </si>
  <si>
    <t>51200 00240</t>
  </si>
  <si>
    <t>Муниципальная программа "Обеспечение условий для развития на территории муниципального образования муниципальный округ Адмиралтейский округ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образования"</t>
  </si>
  <si>
    <t>Физическая культура и спорт</t>
  </si>
  <si>
    <t>Массовый спорт</t>
  </si>
  <si>
    <t>Муниципальная программа «Организация и проведение мероприятий по сохранению и развитию местных традиций и обрядов на территории муниципального образования муниципального округа Адмиралтейский округ»</t>
  </si>
  <si>
    <t>7</t>
  </si>
  <si>
    <t>01</t>
  </si>
  <si>
    <t>02</t>
  </si>
  <si>
    <t>01 02</t>
  </si>
  <si>
    <t>03</t>
  </si>
  <si>
    <t xml:space="preserve">Расходы на содержание депутатов муниципального совета </t>
  </si>
  <si>
    <t>01 03</t>
  </si>
  <si>
    <t xml:space="preserve">01 03 </t>
  </si>
  <si>
    <t>04</t>
  </si>
  <si>
    <t>01 04</t>
  </si>
  <si>
    <t>Резервные фонды</t>
  </si>
  <si>
    <t>11</t>
  </si>
  <si>
    <t>01 11</t>
  </si>
  <si>
    <t>Другие общегосударственные вопросы</t>
  </si>
  <si>
    <t>13</t>
  </si>
  <si>
    <t>01 13</t>
  </si>
  <si>
    <t xml:space="preserve">Муниципальная программа "Участие органов местного самоуправления муниципального образования муниципальный округ Адмиралтейский округ в профилактике терроризма и экстремизма, а также по минимизации и (или) ликвидации последствий его проявлений на территории муниципального образования муниципальный округ Адмиралтейский округ " </t>
  </si>
  <si>
    <t xml:space="preserve"> 09</t>
  </si>
  <si>
    <t>03 09</t>
  </si>
  <si>
    <t>3.2</t>
  </si>
  <si>
    <t>12</t>
  </si>
  <si>
    <t>3.2.1</t>
  </si>
  <si>
    <t>04 12</t>
  </si>
  <si>
    <t>05</t>
  </si>
  <si>
    <t>4.1</t>
  </si>
  <si>
    <t xml:space="preserve"> 03</t>
  </si>
  <si>
    <t>05 03</t>
  </si>
  <si>
    <t>06</t>
  </si>
  <si>
    <t>5.1</t>
  </si>
  <si>
    <t>5.1.1</t>
  </si>
  <si>
    <t>06 05</t>
  </si>
  <si>
    <t>07</t>
  </si>
  <si>
    <t>6.1</t>
  </si>
  <si>
    <t>07 05</t>
  </si>
  <si>
    <t>6.2</t>
  </si>
  <si>
    <t>6.2.1</t>
  </si>
  <si>
    <t>09</t>
  </si>
  <si>
    <t>6.3.1</t>
  </si>
  <si>
    <t>07 09</t>
  </si>
  <si>
    <t>6.3.3</t>
  </si>
  <si>
    <t>Муниципальная программа «Участие в реализации мер по профилактике дорожно-транспортного травматизма на территории муниципального образования муниципальный округ Адмиралтейский округ»</t>
  </si>
  <si>
    <t>6.3.4</t>
  </si>
  <si>
    <t>08</t>
  </si>
  <si>
    <t>7.1</t>
  </si>
  <si>
    <t>7.1.1</t>
  </si>
  <si>
    <t>Муниципальная программа "Организация местных и участие в организации и проведении городских праздничных и иных зрелищных мероприятий"</t>
  </si>
  <si>
    <t xml:space="preserve">08 01 </t>
  </si>
  <si>
    <t>08 01</t>
  </si>
  <si>
    <t>Муниципальная  программа "Организация и проведение досуговых мероприятий для жителей муниципального образования муниципальный округ Адмиралтейский округ"</t>
  </si>
  <si>
    <t>8</t>
  </si>
  <si>
    <t>10</t>
  </si>
  <si>
    <t>8.1</t>
  </si>
  <si>
    <t>8.2</t>
  </si>
  <si>
    <t>ОХРАНА СЕМЬИ И ДЕТСТВА</t>
  </si>
  <si>
    <t>8.2.1</t>
  </si>
  <si>
    <t>10 04</t>
  </si>
  <si>
    <t>8.2.2</t>
  </si>
  <si>
    <t>9</t>
  </si>
  <si>
    <t>9.1</t>
  </si>
  <si>
    <t>9.1.1</t>
  </si>
  <si>
    <t>12 02</t>
  </si>
  <si>
    <t>проверка</t>
  </si>
  <si>
    <t>7.1.2</t>
  </si>
  <si>
    <t>11 02</t>
  </si>
  <si>
    <t>10.1</t>
  </si>
  <si>
    <t>10.1.1</t>
  </si>
  <si>
    <t xml:space="preserve">Муниципальная  программа «Участие муниципального образования муниципальный округ Адмиралтейский округ в мероприятиях по профилактике незаконного потребления наркотических средств и психотропных веществ, 
новых потенциально опасных психоактивных веществ, 
наркомании в Санкт-Петербурге» </t>
  </si>
  <si>
    <t>60002 00133</t>
  </si>
  <si>
    <t>60004 00152</t>
  </si>
  <si>
    <t>60005 00153</t>
  </si>
  <si>
    <t>60006 00160</t>
  </si>
  <si>
    <t>45012 00210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</si>
  <si>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</si>
  <si>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МЕСТНАЯ АДМИНИСТРАЦИЯ МУНИЦИПАЛЬНОГО ОБРАЗОВАНИЯ МУНИЦИПАЛЬНЫЙ ОКРУГ АДМИРАЛТЕЙСКИЙ ОКРУГ</t>
  </si>
  <si>
    <t>Наименование показателя</t>
  </si>
  <si>
    <t>Код источника финансирования дефицита бюджета  по бюджетной классификации</t>
  </si>
  <si>
    <t>Источники финансирования дефицита бюджета - всего:</t>
  </si>
  <si>
    <t>х</t>
  </si>
  <si>
    <t>Изменение остатков  средств  на счетах по учету средств бюджетов</t>
  </si>
  <si>
    <t>000 01 05 00 00 00 0000 000</t>
  </si>
  <si>
    <t xml:space="preserve">Увеличение остатков средств бюджетов </t>
  </si>
  <si>
    <t>000 01 05 00 00 00 0000 500</t>
  </si>
  <si>
    <t xml:space="preserve">Увеличение прочих остатков средств бюджетов </t>
  </si>
  <si>
    <t>000 01 05 02 00 00 0000 500</t>
  </si>
  <si>
    <t xml:space="preserve">Увеличение прочих остатков денежных средств бюджетов </t>
  </si>
  <si>
    <t>000 01 05 02 01 00 0000 510</t>
  </si>
  <si>
    <t>Увеличение прочих остатков денежных средств бюджетов внутригородских муниципальных образований городов федерального значения</t>
  </si>
  <si>
    <t>903 01 05 02 01 03 0000 510</t>
  </si>
  <si>
    <t xml:space="preserve">Уменьшение прочих  остатков средств бюджетов </t>
  </si>
  <si>
    <t>000 01 05 02 00 00 0000 600</t>
  </si>
  <si>
    <t xml:space="preserve">Уменьшение прочих остатков денежных средств бюджетов </t>
  </si>
  <si>
    <t>000 01 05 02 01 00 0000 610</t>
  </si>
  <si>
    <t>Уменьшение прочих остатков денежных средств бюджетов внутригородских муниципальных образований городов федерального значения</t>
  </si>
  <si>
    <t>903 01 05 02 01 03 0000 610</t>
  </si>
  <si>
    <t>Формирование архивных фондов учреждения</t>
  </si>
  <si>
    <t>09202 00071</t>
  </si>
  <si>
    <t>4.1.1.</t>
  </si>
  <si>
    <t>4.1.2</t>
  </si>
  <si>
    <t>4.1.3</t>
  </si>
  <si>
    <t>4.1.4</t>
  </si>
  <si>
    <t>4.1.5</t>
  </si>
  <si>
    <t>4.1.6</t>
  </si>
  <si>
    <t>4.1.7</t>
  </si>
  <si>
    <t>Муниципальная   программа "Содействие развитию малого бизнеса на территории муниципального образования муниципальный округ Адмиралтейский округ "</t>
  </si>
  <si>
    <t>Муниципальная программа "Содействие развитию малого  бизнеса на территории муниципального образования муниципальный округ  Адмиралтейский округ "</t>
  </si>
  <si>
    <t>1.2.2.1</t>
  </si>
  <si>
    <t>3.1.1.1</t>
  </si>
  <si>
    <t>4.1.1.1</t>
  </si>
  <si>
    <t>4.1.2.1</t>
  </si>
  <si>
    <t>4.1.3.1</t>
  </si>
  <si>
    <t>4.1.4.1</t>
  </si>
  <si>
    <t>4.1.5.1</t>
  </si>
  <si>
    <t>4.1.6.1</t>
  </si>
  <si>
    <t>4.1.7.1</t>
  </si>
  <si>
    <t>5.1.1.1</t>
  </si>
  <si>
    <t>6.1.1.1</t>
  </si>
  <si>
    <t>6.2.1.1</t>
  </si>
  <si>
    <t>6.3.1.1</t>
  </si>
  <si>
    <t>6.3.2.1</t>
  </si>
  <si>
    <t>6.3.3.1</t>
  </si>
  <si>
    <t>7.1.1.1</t>
  </si>
  <si>
    <t>7.1.2.1</t>
  </si>
  <si>
    <t>8.1.1.1</t>
  </si>
  <si>
    <t>8.2.1.1</t>
  </si>
  <si>
    <t>8.2.2.1</t>
  </si>
  <si>
    <t>9.1.1.1</t>
  </si>
  <si>
    <t>1.2.3.1</t>
  </si>
  <si>
    <t>1.2.3.2</t>
  </si>
  <si>
    <t>1.2.3.3</t>
  </si>
  <si>
    <t>3.1.1</t>
  </si>
  <si>
    <t>4,1</t>
  </si>
  <si>
    <t>4.1.1</t>
  </si>
  <si>
    <t>6,1</t>
  </si>
  <si>
    <t>6.1.1</t>
  </si>
  <si>
    <t>6.3.2</t>
  </si>
  <si>
    <t>8.1.1</t>
  </si>
  <si>
    <t>1.1.2.3</t>
  </si>
  <si>
    <t xml:space="preserve">Уменьшение  остатков средств бюджетов </t>
  </si>
  <si>
    <t>000 01 05 00 00 00 0000 600</t>
  </si>
  <si>
    <t>№ п/п</t>
  </si>
  <si>
    <t>Наименование кода дохода  бюджета</t>
  </si>
  <si>
    <t>I</t>
  </si>
  <si>
    <t>000</t>
  </si>
  <si>
    <t xml:space="preserve"> 1 00 00000 00 0000 000</t>
  </si>
  <si>
    <t>НАЛОГОВЫЕ И НЕНАЛОГОВЫЕ ДОХОДЫ</t>
  </si>
  <si>
    <t xml:space="preserve"> 1 05 00000 00 0000 000</t>
  </si>
  <si>
    <t>НАЛОГИ НА СОВОКУПНЫЙ ДОХОД</t>
  </si>
  <si>
    <t>182</t>
  </si>
  <si>
    <t xml:space="preserve"> 1 05 01000 00 0000 110</t>
  </si>
  <si>
    <t>Налог, взимаемый в связи с применением упрощенной системы налогообложения</t>
  </si>
  <si>
    <t xml:space="preserve"> 1 05 01010 01 0000 110</t>
  </si>
  <si>
    <t xml:space="preserve">Налог, взимаемый с налогоплательщиков, выбравших в качестве объекта налогообложения доходы </t>
  </si>
  <si>
    <t>1.1.1.1.1</t>
  </si>
  <si>
    <t xml:space="preserve"> 1 05 01011 01 0000 110</t>
  </si>
  <si>
    <t>1.1.1.1.2</t>
  </si>
  <si>
    <t xml:space="preserve"> 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</si>
  <si>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</si>
  <si>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1.1.1.2</t>
  </si>
  <si>
    <t xml:space="preserve">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</si>
  <si>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</si>
  <si>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1.1.1.2.1</t>
  </si>
  <si>
    <t xml:space="preserve"> 1 05 01021 01 0000 110</t>
  </si>
  <si>
    <t>1.1.1.2.2</t>
  </si>
  <si>
    <t xml:space="preserve">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</si>
  <si>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</si>
  <si>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1.1.1.3</t>
  </si>
  <si>
    <t>1 05 01050 01 0000 110</t>
  </si>
  <si>
    <t>Минимальный налог, зачисляемый в бюджеты субъектов Российской Федерации</t>
  </si>
  <si>
    <t xml:space="preserve"> 1 05 02000 02 0000 110</t>
  </si>
  <si>
    <t>Единый налог на вмененный доход для отдельных видов деятельности</t>
  </si>
  <si>
    <t xml:space="preserve"> 1 05 02010 02 0000 110</t>
  </si>
  <si>
    <t xml:space="preserve">Единый налог на вмененный доход для отдельных видов деятельности </t>
  </si>
  <si>
    <t xml:space="preserve">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</si>
  <si>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</si>
  <si>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1 05 04000  02 0000 110</t>
  </si>
  <si>
    <t>Налог, взимаемый в связи  с  применением    патентной системы налогообложения</t>
  </si>
  <si>
    <t>1 05 04030 02 0000 110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</si>
  <si>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</t>
  </si>
  <si>
    <t xml:space="preserve"> 1 16 00000 00 0000 000</t>
  </si>
  <si>
    <t>ШТРАФЫ, САНКЦИИ, ВОЗМЕЩЕНИЕ УЩЕРБА</t>
  </si>
  <si>
    <t xml:space="preserve"> 1 16 06000 01 0000 140</t>
  </si>
  <si>
    <t>Денежные взыскания (штрафы) за нарушение 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</si>
  <si>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1 16 21000 00 0000 140</t>
  </si>
  <si>
    <t>Денежные  взыскания  (штрафы)   и   иные суммы, взыскиваемые с лиц, виновных в совершении преступлений, и в возмещение ущерба имуществу</t>
  </si>
  <si>
    <t>322</t>
  </si>
  <si>
    <t>1 16 21030 03 0000 140</t>
  </si>
  <si>
    <t xml:space="preserve">Денежные  взыскания  (штрафы)   и   иные суммы, взыскиваемые с лиц, виновных в совершении преступлений, и в возмещение ущерба имуществу, зачисляемые в бюджеты внутригородских муниципальных образований городов федерального значения </t>
  </si>
  <si>
    <t>Прочие поступления от денежных взысканий (штрафов) и иных сумм в возмещение ущерба</t>
  </si>
  <si>
    <t xml:space="preserve"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</t>
  </si>
  <si>
    <t>1.3.3.1.1</t>
  </si>
  <si>
    <t>806</t>
  </si>
  <si>
    <t>1.3.3.1.3</t>
  </si>
  <si>
    <t>808</t>
  </si>
  <si>
    <t>1.3.3.1.4</t>
  </si>
  <si>
    <t>824</t>
  </si>
  <si>
    <t>1.3.3.1.5</t>
  </si>
  <si>
    <t>846</t>
  </si>
  <si>
    <t>1.3.3.1.6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</si>
  <si>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</si>
  <si>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</si>
  <si>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</si>
  <si>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 СИСТЕМЫ РОССИЙСКОЙ ФЕДЕРАЦИИ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</si>
  <si>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</si>
  <si>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</si>
  <si>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</si>
  <si>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</si>
  <si>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составлениюпротоколов об административных правонарушениях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</si>
  <si>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</si>
  <si>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</si>
  <si>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</si>
  <si>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ИТОГО ДОХОДОВ</t>
  </si>
  <si>
    <t>Код источника доходов</t>
  </si>
  <si>
    <t>Код администратора</t>
  </si>
  <si>
    <t>Плановый период</t>
  </si>
  <si>
    <t>2020 год</t>
  </si>
  <si>
    <t>(тыс. руб.)</t>
  </si>
  <si>
    <t>Код раздела и подраздела</t>
  </si>
  <si>
    <t>2021 год</t>
  </si>
  <si>
    <t>815</t>
  </si>
  <si>
    <t>22</t>
  </si>
  <si>
    <t>34501 00101</t>
  </si>
  <si>
    <t>99999 99999</t>
  </si>
  <si>
    <t>99000 S1590</t>
  </si>
  <si>
    <t>Субсидия из бюджета г Санкт-Петербурга</t>
  </si>
  <si>
    <t>44,2</t>
  </si>
  <si>
    <t>7.1.3</t>
  </si>
  <si>
    <t>7.1.3.1</t>
  </si>
  <si>
    <t>6.3.4.1</t>
  </si>
  <si>
    <t>1001</t>
  </si>
  <si>
    <t>6.3.5</t>
  </si>
  <si>
    <t>6.3.5.1</t>
  </si>
  <si>
    <t>ИЗБИРАТЕЛЬНАЯ КОМИССИЯ МУНИЦИПАЛЬНОГО ОБРАЗОВАНИЯ</t>
  </si>
  <si>
    <t>894</t>
  </si>
  <si>
    <t>III.</t>
  </si>
  <si>
    <t>3.1.</t>
  </si>
  <si>
    <t>0107</t>
  </si>
  <si>
    <t>Обеспечение проведения выборов и референдумов</t>
  </si>
  <si>
    <t>Расходы на членов избирательной комиссии муниципального образования муниципальный округ Адмиралтейский округ</t>
  </si>
  <si>
    <t>02000 00050</t>
  </si>
  <si>
    <t>3.2.1.1</t>
  </si>
  <si>
    <t>Муниципальная  программа «Участие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 муниципальный округ Адмиралтейский округ, социальную и культурную адаптацию мигрантов, профилактику межнациональных (межэтнических) конфликтов»</t>
  </si>
  <si>
    <t>79515 00521</t>
  </si>
  <si>
    <t xml:space="preserve">Прочие субсидии бюджетам внутригородских муниципальных образований городов федерального значения   </t>
  </si>
  <si>
    <t xml:space="preserve">Субсидии бюджетам бюджетной системы Российской Федерации (межбюджетные субсидии)          </t>
  </si>
  <si>
    <t xml:space="preserve">Муниципальная программа «Противодействие коррупции в органах местного самоуправления МО Адмиралтейский округ» </t>
  </si>
  <si>
    <t>79507 00180</t>
  </si>
  <si>
    <t>Муниципальная   программа "Осуществление защиты прав потребителей на территории муниципального образования муниципальный округ Адмиралтейский округ "</t>
  </si>
  <si>
    <t>3.2.2</t>
  </si>
  <si>
    <t>6.2.2</t>
  </si>
  <si>
    <t>6.2.3</t>
  </si>
  <si>
    <t>6.2.4</t>
  </si>
  <si>
    <t>6.2.5</t>
  </si>
  <si>
    <t>6.2.6</t>
  </si>
  <si>
    <t>01 07</t>
  </si>
  <si>
    <t>1.6</t>
  </si>
  <si>
    <t>1.6.1</t>
  </si>
  <si>
    <t>1.6.2</t>
  </si>
  <si>
    <t>1.6.3</t>
  </si>
  <si>
    <t>1.6.4</t>
  </si>
  <si>
    <t>1.6.5</t>
  </si>
  <si>
    <t>2.3.1</t>
  </si>
  <si>
    <t>2.3.1.1</t>
  </si>
  <si>
    <t>2.3.1.1.1</t>
  </si>
  <si>
    <t>2.3.1.1.1.1</t>
  </si>
  <si>
    <t>2.3.1.1.1.2</t>
  </si>
  <si>
    <t>2.3.1.1.2</t>
  </si>
  <si>
    <t>2.3.1.1.2.1</t>
  </si>
  <si>
    <t>2.3.1.1.2.1.1</t>
  </si>
  <si>
    <t>2.3.1.1.2.1.2</t>
  </si>
  <si>
    <t xml:space="preserve">Дотации бюджетам  системы Российской Федерациии муниципальных образований      </t>
  </si>
  <si>
    <t>Прочие дотации</t>
  </si>
  <si>
    <t xml:space="preserve">Прочие дотации бюджетам внутригородских муниципальных образований городов федерального значения   </t>
  </si>
  <si>
    <t xml:space="preserve"> 1 13 00000 00 0000 000</t>
  </si>
  <si>
    <t xml:space="preserve"> 1 13 02993 03 0200 130</t>
  </si>
  <si>
    <t xml:space="preserve"> 1 13 02990 00 0000 130</t>
  </si>
  <si>
    <t>Прочие доходы от компенсации затрат государства</t>
  </si>
  <si>
    <t>Другие виды прочих доходов от компенсации затрат бюджетов внутригородских муниципальных образований</t>
  </si>
  <si>
    <t>10 01</t>
  </si>
  <si>
    <t>Субвенции бюджетам  на содержание ребенка в семье опекуна и приемной семье, а также вознаграждение, причитающееся приемному родителю</t>
  </si>
  <si>
    <t>Закупка товаров, работ и услуг для обеспечения государственных (муниципальных) нужд</t>
  </si>
  <si>
    <t>Приложение 4</t>
  </si>
  <si>
    <t>Приложение 1</t>
  </si>
  <si>
    <t>Приложение 2</t>
  </si>
  <si>
    <t>Приложение 3</t>
  </si>
  <si>
    <t>2.2.1.1</t>
  </si>
  <si>
    <t>2.2.1.1.1</t>
  </si>
  <si>
    <t>2.1.2.1</t>
  </si>
  <si>
    <t>2.1.2</t>
  </si>
  <si>
    <t>1.1.3.2</t>
  </si>
  <si>
    <t>1.3.4.1</t>
  </si>
  <si>
    <t>Расходы по организационному и материально-техническому обеспечению подготовки и проведения муниципальных выборов</t>
  </si>
  <si>
    <t>02001 00070</t>
  </si>
  <si>
    <t>3.1</t>
  </si>
  <si>
    <t>3.1.2</t>
  </si>
  <si>
    <t>3.1.2.1</t>
  </si>
  <si>
    <t>6.2.2.1</t>
  </si>
  <si>
    <t>6.2.3.1</t>
  </si>
  <si>
    <t>6.2.4.1</t>
  </si>
  <si>
    <t>6.2.5.1</t>
  </si>
  <si>
    <t>6.2.6.1</t>
  </si>
  <si>
    <t>Расходы по назначению, выплате, перерасчету пенсии
за выслугу лет лицам, замещавшим должности 
муниципальной службы в органах местного 
самоуправления, муниципальных органах 
муниципальных образований, а также приостановлению, 
возобновлению, прекращению выплаты пенсии за 
выслугу лет в соответствии с законом Санкт-Петербурга</t>
  </si>
  <si>
    <t>ПЕНСИОННОЕ ОБЕСПЕЧЕНИЕ</t>
  </si>
  <si>
    <t>3.1.1.1.1</t>
  </si>
  <si>
    <t>1.4.1</t>
  </si>
  <si>
    <t>1.4.2</t>
  </si>
  <si>
    <t>002000 00050</t>
  </si>
  <si>
    <t>1.6.6</t>
  </si>
  <si>
    <t>1.6.7</t>
  </si>
  <si>
    <t>1.3.2.2</t>
  </si>
  <si>
    <t>1.3.2.3</t>
  </si>
  <si>
    <t>1.4.1.1</t>
  </si>
  <si>
    <t>1.4.2.1</t>
  </si>
  <si>
    <t>1.5.1</t>
  </si>
  <si>
    <t>1.5.1.1</t>
  </si>
  <si>
    <t>1.6.1.1</t>
  </si>
  <si>
    <t>1.6.2.1</t>
  </si>
  <si>
    <t>1.6.3.1</t>
  </si>
  <si>
    <t>1.6.4.1</t>
  </si>
  <si>
    <t>1.6.6.1</t>
  </si>
  <si>
    <t>1.6.7.1</t>
  </si>
  <si>
    <t>1.6.7.2</t>
  </si>
  <si>
    <t>1.6.7.3</t>
  </si>
  <si>
    <t>2.1.1.1.</t>
  </si>
  <si>
    <t>3.2.2.1</t>
  </si>
  <si>
    <t>10.1.1.1</t>
  </si>
  <si>
    <t>2 02 10000 00 0000 150</t>
  </si>
  <si>
    <t xml:space="preserve">2 02 19999 00 0000 150  </t>
  </si>
  <si>
    <t xml:space="preserve">2 02 19999 03 0000 150  </t>
  </si>
  <si>
    <t xml:space="preserve">2 02 02000 00 0000 150  </t>
  </si>
  <si>
    <t xml:space="preserve">2 02 29999 03 0000 150  </t>
  </si>
  <si>
    <t>2 02 30000 00 0000 150</t>
  </si>
  <si>
    <t>2 02 30024 00 0000 150</t>
  </si>
  <si>
    <t>2 02 30024 03 0100 150</t>
  </si>
  <si>
    <t>2 02 30 024 03 0000 150</t>
  </si>
  <si>
    <t>2 02 30024 03 0200 150</t>
  </si>
  <si>
    <t>2 02 30027 00 0000 150</t>
  </si>
  <si>
    <t>2 02 30027 03 0000 150</t>
  </si>
  <si>
    <t>2 02 30027 03 0100 150</t>
  </si>
  <si>
    <t>2 02 30027 03 0200 150</t>
  </si>
  <si>
    <t>Расходы по назначению, выплате, перерасчету пенсии
за выслугу лет лицам, замещавшим должности 
муниципальной службы в органах местного 
самоуправления, муниципальных органах 
муниципальных образований</t>
  </si>
  <si>
    <t>1.4.2.2</t>
  </si>
  <si>
    <t>3.1.1.1.2</t>
  </si>
  <si>
    <t xml:space="preserve">Закупка товаров, работ и услуг для государственных (муниципальных) нуждвнебюджетными фондами </t>
  </si>
  <si>
    <t>Условно утвержденные расходы</t>
  </si>
  <si>
    <t>1.6.8.1</t>
  </si>
  <si>
    <t>1.6.8</t>
  </si>
  <si>
    <t>1.3.5</t>
  </si>
  <si>
    <t>1.3.5.1</t>
  </si>
  <si>
    <t>0401</t>
  </si>
  <si>
    <t>51000 00100</t>
  </si>
  <si>
    <t>Закупка товаров, работ и услуг для государственных      (муниципальных) нужд</t>
  </si>
  <si>
    <t>Временное трудоустройство несовершеннолетних в возрасте от 14 до 18 лет в свободное от учебы время</t>
  </si>
  <si>
    <t>04 01</t>
  </si>
  <si>
    <t>ОБЩЕЭКОНОМИЧЕСКИЕ ВОПРОСЫ</t>
  </si>
  <si>
    <t>880</t>
  </si>
  <si>
    <t>Начисление компенсации, дополнительной оплаты труда (вознаграждения)</t>
  </si>
  <si>
    <t xml:space="preserve">Начисление компенсации, дополнительной оплаты труда (вознаграждения) </t>
  </si>
  <si>
    <t>Муниципальная   программа "Временное трудоустройство несовершеннолетних в возрасте от 14 до 18 лет в свободное от учебы время "</t>
  </si>
  <si>
    <t>2022 год</t>
  </si>
  <si>
    <t>Доходы местного бюджета МО Адмиралтейский округ на 2020 год  и плановый период 2021 и 2022 годов</t>
  </si>
  <si>
    <t>2488,2</t>
  </si>
  <si>
    <t>2598</t>
  </si>
  <si>
    <t>1,0</t>
  </si>
  <si>
    <t>411,5</t>
  </si>
  <si>
    <t>635,9</t>
  </si>
  <si>
    <t>2180,5</t>
  </si>
  <si>
    <t>4.1.8</t>
  </si>
  <si>
    <t>4.1.8.1</t>
  </si>
  <si>
    <t>10,5</t>
  </si>
  <si>
    <t>60009 00160</t>
  </si>
  <si>
    <t>Ведомственная структура расходов местного бюджета МО Адмиралтейский округ на 2020 год  и плановый период 2021 и 2022 годов</t>
  </si>
  <si>
    <t>Распределение бюджетных ассигнований местного бюджета МО Адмиралтейский округ на 2020 год  и плановый период 2021 и 2022 годов</t>
  </si>
  <si>
    <t>Источники финансирования дефицита местного бюджета МО Адмиралтейский округ на 2020 год  и плановый период 2021 и 2022 годов</t>
  </si>
  <si>
    <t xml:space="preserve">МУНИЦИПАЛЬНАЯ ПРОГРАММА
 «Проведение в установленном порядке минимально необходимых мероприятий по обеспечению доступности городской среды для маломобильных групп населения на территориях дворов муниципального образования муниципальный округ Адмиралтейский округ»
</t>
  </si>
  <si>
    <t>2076,7</t>
  </si>
  <si>
    <t>47,4</t>
  </si>
  <si>
    <t>50,7</t>
  </si>
  <si>
    <t>42,1</t>
  </si>
  <si>
    <t>34,7</t>
  </si>
  <si>
    <t>4.1.9</t>
  </si>
  <si>
    <t>4.1.9.1</t>
  </si>
  <si>
    <t>ДОХОДЫ ОТ ОКАЗАНИЯ ПЛАТНЫХ УСЛУГ И КОМПЕНСАЦИИ ЗАТРАТ ГОСУДАРСТВА</t>
  </si>
  <si>
    <t>867</t>
  </si>
  <si>
    <t>132,2</t>
  </si>
  <si>
    <t>138,5</t>
  </si>
  <si>
    <t>1.3.5.2</t>
  </si>
  <si>
    <t>1.3.5.3</t>
  </si>
  <si>
    <t>1.3.6</t>
  </si>
  <si>
    <t>1.3.6.1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</si>
  <si>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</si>
  <si>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</si>
  <si>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 организаций  в валюте Российской Федерации</t>
  </si>
  <si>
    <t>Получение кредитов от кредитных  организаций бюджетами внутригородских муниципальных образований городов федерального значения Москвы и Санкт-Петербурга в валюте Российской Федерации</t>
  </si>
  <si>
    <t>000 01 02 00 00 03 0000 700</t>
  </si>
  <si>
    <t>Погашение кредитов, предоставленных  кредитными организациями в валюте Российской Федерации</t>
  </si>
  <si>
    <t>000 01 02 00 00 00 0000 800</t>
  </si>
  <si>
    <t>Погашение бюджетами внутригородских муниципальных образований городов федерального значения Москвы и Санкт-Петербурга кредитов от кредитных  организаций кредитов от кредитных  организаций  в валюте Российской Федерации</t>
  </si>
  <si>
    <t>10.1.1.1.1</t>
  </si>
  <si>
    <t>Обслуживание  муниципального долга</t>
  </si>
  <si>
    <t>1300</t>
  </si>
  <si>
    <t>1301</t>
  </si>
  <si>
    <t>700</t>
  </si>
  <si>
    <t>730</t>
  </si>
  <si>
    <t>1304,8</t>
  </si>
  <si>
    <t>МУНИЦИПАЛЬНАЯ ПРОГРАММА
 «Проведение в установленном порядке минимально необходимых мероприятий по обеспечению доступности городской среды для маломобильных групп населения на территориях дворов муниципального образования муниципальный округ Адмиралтейский округ»</t>
  </si>
  <si>
    <t xml:space="preserve">Муниципальная  программа «Участие муниципального образования муниципальный округ Адмиралтейский округ в мероприятиях по профилактике незаконного потребления наркотических средств и психотропных веществ, </t>
  </si>
  <si>
    <t>11.</t>
  </si>
  <si>
    <t>11.1</t>
  </si>
  <si>
    <t>11.1.1</t>
  </si>
  <si>
    <t>13 01</t>
  </si>
  <si>
    <t xml:space="preserve">13 </t>
  </si>
  <si>
    <t>1 16 02010 02 0100 140</t>
  </si>
  <si>
    <t>1 16 10123 01 0031 140</t>
  </si>
  <si>
    <t>1 16 00000 00 0000 140</t>
  </si>
  <si>
    <t xml:space="preserve"> 1 16 00000 00 0000 140</t>
  </si>
  <si>
    <t>Штрафы предусмотренные статьями 12-37-1,44 Закона Санет -Петербурга от 12.05.2010 №273-70  "Об административных правонарушениях в  Санкт-Петербурге"</t>
  </si>
  <si>
    <t>807</t>
  </si>
  <si>
    <t>Штрафы за административные правонарушения в области благоустройства, предусмотренные  главой 4 Закона Санкт-Петербурга  "Об административных правонарушениях в  Санкт-Петербурге", за исключением статьи 37-2 указанного Закона Санкт-ПетербургаДоходы от денежных взысканий (штрафов) поступающие в счет погашения задолженности, образовавшейся до 1 января 2020 года, подлежащая зачислению в бюджет муниципального образования по нормативам, действовавшим в 2019</t>
  </si>
  <si>
    <t>Доходы от денежных взысканий (штрафов) поступающие в счет погашения задолженности, образовавшейся до 1 января 2020 года, подлежащая зачислению в бюджет муниципального образования по нормативам, действовавшим в 2019</t>
  </si>
  <si>
    <t>от 27 апреля 2020 года № 9</t>
  </si>
  <si>
    <t>6.3</t>
  </si>
  <si>
    <t>903 01 02 00 00 00 0000 700</t>
  </si>
  <si>
    <t>903 01 02 00 00 03 0000 810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</si>
</sst>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₽_-;\-* #,##0.00\ _₽_-;_-* &quot;-&quot;??\ _₽_-;_-@_-"/>
    <numFmt numFmtId="164" formatCode="#,##0.0"/>
    <numFmt numFmtId="165" formatCode="000000"/>
    <numFmt numFmtId="166" formatCode="[=17923658.95]&quot;17 923 658.95&quot;;General"/>
    <numFmt numFmtId="167" formatCode="[=8408334.34]&quot;8 408 334.34&quot;;General"/>
    <numFmt numFmtId="168" formatCode="[=4666077.32]&quot;4 666 077.32&quot;;General"/>
    <numFmt numFmtId="169" formatCode="[=2471880.58]&quot;2 471 880.58&quot;;General"/>
    <numFmt numFmtId="170" formatCode="0.0"/>
  </numFmts>
  <fonts count="4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Arial Cyr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b/>
      <u/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5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6"/>
      <name val="Times New Roman"/>
      <family val="1"/>
      <charset val="204"/>
    </font>
    <font>
      <u/>
      <sz val="16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5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4"/>
      <name val="Arial Cyr"/>
      <family val="2"/>
      <charset val="204"/>
    </font>
    <font>
      <sz val="14"/>
      <name val="Arial Cyr"/>
      <family val="2"/>
      <charset val="204"/>
    </font>
    <font>
      <i/>
      <sz val="9"/>
      <name val="Arial"/>
      <family val="2"/>
    </font>
    <font>
      <b/>
      <i/>
      <sz val="10"/>
      <name val="Arial Cyr"/>
      <charset val="204"/>
    </font>
    <font>
      <b/>
      <u/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rgb="FFFF0000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1">
    <xf numFmtId="0" fontId="0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13" fillId="0" borderId="0"/>
    <xf numFmtId="0" fontId="7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6" fillId="0" borderId="0"/>
    <xf numFmtId="0" fontId="6" fillId="0" borderId="0"/>
    <xf numFmtId="0" fontId="6" fillId="0" borderId="0"/>
    <xf numFmtId="9" fontId="7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8" fillId="0" borderId="0"/>
    <xf numFmtId="43" fontId="44" fillId="0" borderId="0" applyFont="0" applyFill="0" applyBorder="0" applyAlignment="0" applyProtection="0"/>
  </cellStyleXfs>
  <cellXfs count="334">
    <xf numFmtId="0" fontId="0" fillId="0" borderId="0" xfId="0"/>
    <xf numFmtId="0" fontId="7" fillId="0" borderId="0" xfId="1"/>
    <xf numFmtId="0" fontId="17" fillId="0" borderId="0" xfId="0" applyFont="1"/>
    <xf numFmtId="0" fontId="0" fillId="0" borderId="0" xfId="0" applyBorder="1"/>
    <xf numFmtId="49" fontId="7" fillId="0" borderId="0" xfId="1" applyNumberFormat="1" applyAlignment="1">
      <alignment wrapText="1"/>
    </xf>
    <xf numFmtId="0" fontId="8" fillId="0" borderId="0" xfId="1" applyFont="1" applyFill="1" applyAlignment="1"/>
    <xf numFmtId="0" fontId="8" fillId="0" borderId="0" xfId="1" applyFont="1" applyFill="1" applyAlignment="1">
      <alignment horizontal="right"/>
    </xf>
    <xf numFmtId="49" fontId="8" fillId="0" borderId="0" xfId="1" applyNumberFormat="1" applyFont="1" applyFill="1" applyAlignment="1">
      <alignment horizontal="center" wrapText="1"/>
    </xf>
    <xf numFmtId="49" fontId="9" fillId="0" borderId="0" xfId="1" applyNumberFormat="1" applyFont="1" applyFill="1" applyAlignment="1">
      <alignment wrapText="1"/>
    </xf>
    <xf numFmtId="49" fontId="9" fillId="0" borderId="0" xfId="1" applyNumberFormat="1" applyFont="1" applyFill="1" applyAlignment="1">
      <alignment horizontal="center"/>
    </xf>
    <xf numFmtId="0" fontId="0" fillId="0" borderId="0" xfId="0" applyFill="1"/>
    <xf numFmtId="49" fontId="19" fillId="0" borderId="3" xfId="1" applyNumberFormat="1" applyFont="1" applyFill="1" applyBorder="1" applyAlignment="1">
      <alignment horizontal="center" wrapText="1"/>
    </xf>
    <xf numFmtId="0" fontId="20" fillId="0" borderId="4" xfId="1" applyFont="1" applyFill="1" applyBorder="1" applyAlignment="1">
      <alignment horizontal="center" wrapText="1"/>
    </xf>
    <xf numFmtId="49" fontId="20" fillId="0" borderId="3" xfId="1" applyNumberFormat="1" applyFont="1" applyFill="1" applyBorder="1" applyAlignment="1">
      <alignment horizontal="center" wrapText="1"/>
    </xf>
    <xf numFmtId="49" fontId="20" fillId="0" borderId="1" xfId="1" applyNumberFormat="1" applyFont="1" applyFill="1" applyBorder="1" applyAlignment="1">
      <alignment horizontal="center" wrapText="1"/>
    </xf>
    <xf numFmtId="49" fontId="10" fillId="0" borderId="1" xfId="1" applyNumberFormat="1" applyFont="1" applyFill="1" applyBorder="1" applyAlignment="1">
      <alignment horizontal="left" wrapText="1"/>
    </xf>
    <xf numFmtId="49" fontId="10" fillId="0" borderId="1" xfId="1" applyNumberFormat="1" applyFont="1" applyFill="1" applyBorder="1" applyAlignment="1">
      <alignment horizontal="center" wrapText="1"/>
    </xf>
    <xf numFmtId="49" fontId="10" fillId="0" borderId="2" xfId="1" applyNumberFormat="1" applyFont="1" applyFill="1" applyBorder="1" applyAlignment="1">
      <alignment wrapText="1"/>
    </xf>
    <xf numFmtId="49" fontId="10" fillId="0" borderId="2" xfId="1" applyNumberFormat="1" applyFont="1" applyFill="1" applyBorder="1" applyAlignment="1">
      <alignment horizontal="left" wrapText="1"/>
    </xf>
    <xf numFmtId="49" fontId="10" fillId="0" borderId="2" xfId="1" applyNumberFormat="1" applyFont="1" applyFill="1" applyBorder="1" applyAlignment="1">
      <alignment horizontal="center" wrapText="1"/>
    </xf>
    <xf numFmtId="49" fontId="8" fillId="0" borderId="1" xfId="1" applyNumberFormat="1" applyFont="1" applyFill="1" applyBorder="1" applyAlignment="1">
      <alignment horizontal="center" wrapText="1"/>
    </xf>
    <xf numFmtId="49" fontId="10" fillId="0" borderId="5" xfId="1" applyNumberFormat="1" applyFont="1" applyFill="1" applyBorder="1" applyAlignment="1">
      <alignment horizontal="center" wrapText="1"/>
    </xf>
    <xf numFmtId="49" fontId="10" fillId="0" borderId="5" xfId="1" applyNumberFormat="1" applyFont="1" applyFill="1" applyBorder="1" applyAlignment="1">
      <alignment wrapText="1"/>
    </xf>
    <xf numFmtId="49" fontId="20" fillId="0" borderId="2" xfId="1" applyNumberFormat="1" applyFont="1" applyFill="1" applyBorder="1" applyAlignment="1">
      <alignment horizontal="center" wrapText="1"/>
    </xf>
    <xf numFmtId="49" fontId="20" fillId="0" borderId="5" xfId="1" applyNumberFormat="1" applyFont="1" applyFill="1" applyBorder="1" applyAlignment="1">
      <alignment horizontal="center" wrapText="1"/>
    </xf>
    <xf numFmtId="49" fontId="8" fillId="0" borderId="2" xfId="1" applyNumberFormat="1" applyFont="1" applyFill="1" applyBorder="1" applyAlignment="1">
      <alignment horizontal="center" wrapText="1"/>
    </xf>
    <xf numFmtId="49" fontId="8" fillId="0" borderId="5" xfId="1" applyNumberFormat="1" applyFont="1" applyFill="1" applyBorder="1" applyAlignment="1">
      <alignment horizontal="center" wrapText="1"/>
    </xf>
    <xf numFmtId="49" fontId="8" fillId="0" borderId="2" xfId="1" applyNumberFormat="1" applyFont="1" applyFill="1" applyBorder="1" applyAlignment="1">
      <alignment wrapText="1"/>
    </xf>
    <xf numFmtId="0" fontId="0" fillId="0" borderId="0" xfId="0" applyFont="1"/>
    <xf numFmtId="0" fontId="0" fillId="3" borderId="0" xfId="0" applyFill="1"/>
    <xf numFmtId="0" fontId="26" fillId="0" borderId="3" xfId="24" applyFont="1" applyFill="1" applyBorder="1" applyAlignment="1">
      <alignment wrapText="1"/>
    </xf>
    <xf numFmtId="0" fontId="7" fillId="0" borderId="0" xfId="1" applyFill="1"/>
    <xf numFmtId="0" fontId="7" fillId="0" borderId="0" xfId="1" applyFont="1"/>
    <xf numFmtId="49" fontId="20" fillId="4" borderId="3" xfId="1" applyNumberFormat="1" applyFont="1" applyFill="1" applyBorder="1"/>
    <xf numFmtId="49" fontId="20" fillId="4" borderId="3" xfId="1" applyNumberFormat="1" applyFont="1" applyFill="1" applyBorder="1" applyAlignment="1">
      <alignment wrapText="1"/>
    </xf>
    <xf numFmtId="49" fontId="20" fillId="4" borderId="3" xfId="1" applyNumberFormat="1" applyFont="1" applyFill="1" applyBorder="1" applyAlignment="1">
      <alignment horizontal="center"/>
    </xf>
    <xf numFmtId="0" fontId="20" fillId="4" borderId="3" xfId="1" applyNumberFormat="1" applyFont="1" applyFill="1" applyBorder="1" applyAlignment="1">
      <alignment horizontal="center"/>
    </xf>
    <xf numFmtId="49" fontId="8" fillId="0" borderId="0" xfId="1" applyNumberFormat="1" applyFont="1"/>
    <xf numFmtId="0" fontId="10" fillId="0" borderId="1" xfId="1" applyNumberFormat="1" applyFont="1" applyFill="1" applyBorder="1" applyAlignment="1">
      <alignment horizontal="center" wrapText="1"/>
    </xf>
    <xf numFmtId="0" fontId="10" fillId="0" borderId="5" xfId="1" applyNumberFormat="1" applyFont="1" applyFill="1" applyBorder="1" applyAlignment="1">
      <alignment horizontal="center" wrapText="1"/>
    </xf>
    <xf numFmtId="0" fontId="27" fillId="0" borderId="0" xfId="1" applyFont="1"/>
    <xf numFmtId="11" fontId="7" fillId="0" borderId="0" xfId="1" applyNumberFormat="1"/>
    <xf numFmtId="0" fontId="29" fillId="0" borderId="0" xfId="0" applyFont="1" applyFill="1"/>
    <xf numFmtId="0" fontId="0" fillId="0" borderId="0" xfId="0" applyFill="1" applyBorder="1"/>
    <xf numFmtId="0" fontId="12" fillId="0" borderId="0" xfId="0" applyFont="1"/>
    <xf numFmtId="0" fontId="32" fillId="0" borderId="0" xfId="0" applyFont="1"/>
    <xf numFmtId="0" fontId="12" fillId="0" borderId="0" xfId="0" applyFont="1" applyAlignment="1">
      <alignment wrapText="1"/>
    </xf>
    <xf numFmtId="2" fontId="12" fillId="0" borderId="0" xfId="0" applyNumberFormat="1" applyFont="1"/>
    <xf numFmtId="0" fontId="31" fillId="0" borderId="3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/>
    </xf>
    <xf numFmtId="0" fontId="31" fillId="0" borderId="3" xfId="0" applyNumberFormat="1" applyFont="1" applyBorder="1" applyAlignment="1">
      <alignment horizontal="center" vertical="center"/>
    </xf>
    <xf numFmtId="0" fontId="12" fillId="0" borderId="3" xfId="0" applyFont="1" applyBorder="1" applyAlignment="1">
      <alignment wrapText="1"/>
    </xf>
    <xf numFmtId="0" fontId="12" fillId="0" borderId="3" xfId="0" applyFont="1" applyBorder="1" applyAlignment="1">
      <alignment horizontal="center" vertical="center"/>
    </xf>
    <xf numFmtId="0" fontId="12" fillId="0" borderId="3" xfId="0" applyFont="1" applyBorder="1"/>
    <xf numFmtId="49" fontId="10" fillId="0" borderId="3" xfId="1" applyNumberFormat="1" applyFont="1" applyFill="1" applyBorder="1" applyAlignment="1">
      <alignment horizontal="center"/>
    </xf>
    <xf numFmtId="164" fontId="12" fillId="0" borderId="3" xfId="0" applyNumberFormat="1" applyFont="1" applyBorder="1"/>
    <xf numFmtId="0" fontId="31" fillId="0" borderId="0" xfId="0" applyFont="1" applyAlignment="1">
      <alignment horizontal="right"/>
    </xf>
    <xf numFmtId="0" fontId="9" fillId="0" borderId="0" xfId="1" applyFont="1"/>
    <xf numFmtId="0" fontId="34" fillId="0" borderId="0" xfId="48" applyFont="1" applyFill="1"/>
    <xf numFmtId="0" fontId="8" fillId="2" borderId="3" xfId="1" applyFont="1" applyFill="1" applyBorder="1" applyAlignment="1">
      <alignment horizontal="center" vertical="center"/>
    </xf>
    <xf numFmtId="49" fontId="8" fillId="2" borderId="3" xfId="1" applyNumberFormat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left" vertical="center" wrapText="1"/>
    </xf>
    <xf numFmtId="164" fontId="8" fillId="0" borderId="1" xfId="1" applyNumberFormat="1" applyFont="1" applyFill="1" applyBorder="1" applyAlignment="1">
      <alignment horizontal="center" vertical="center" wrapText="1"/>
    </xf>
    <xf numFmtId="164" fontId="35" fillId="5" borderId="0" xfId="1" applyNumberFormat="1" applyFont="1" applyFill="1" applyBorder="1" applyAlignment="1">
      <alignment horizontal="center" vertical="center" wrapText="1"/>
    </xf>
    <xf numFmtId="49" fontId="8" fillId="2" borderId="3" xfId="1" applyNumberFormat="1" applyFont="1" applyFill="1" applyBorder="1" applyAlignment="1">
      <alignment horizontal="center" vertical="center"/>
    </xf>
    <xf numFmtId="164" fontId="8" fillId="0" borderId="3" xfId="1" applyNumberFormat="1" applyFont="1" applyFill="1" applyBorder="1" applyAlignment="1">
      <alignment horizontal="center" vertical="center" wrapText="1"/>
    </xf>
    <xf numFmtId="164" fontId="36" fillId="0" borderId="0" xfId="1" applyNumberFormat="1" applyFont="1" applyBorder="1" applyAlignment="1">
      <alignment horizontal="center" vertical="center" wrapText="1"/>
    </xf>
    <xf numFmtId="166" fontId="37" fillId="0" borderId="0" xfId="49" applyNumberFormat="1" applyFont="1" applyBorder="1" applyAlignment="1">
      <alignment horizontal="right"/>
    </xf>
    <xf numFmtId="49" fontId="10" fillId="2" borderId="3" xfId="1" applyNumberFormat="1" applyFont="1" applyFill="1" applyBorder="1" applyAlignment="1">
      <alignment horizontal="center" vertical="center"/>
    </xf>
    <xf numFmtId="49" fontId="10" fillId="2" borderId="3" xfId="1" applyNumberFormat="1" applyFont="1" applyFill="1" applyBorder="1" applyAlignment="1">
      <alignment horizontal="center" vertical="center" wrapText="1"/>
    </xf>
    <xf numFmtId="0" fontId="10" fillId="2" borderId="3" xfId="1" applyFont="1" applyFill="1" applyBorder="1" applyAlignment="1">
      <alignment horizontal="left" vertical="center" wrapText="1"/>
    </xf>
    <xf numFmtId="4" fontId="0" fillId="0" borderId="0" xfId="0" applyNumberFormat="1" applyBorder="1"/>
    <xf numFmtId="167" fontId="37" fillId="0" borderId="0" xfId="49" applyNumberFormat="1" applyFont="1" applyBorder="1" applyAlignment="1">
      <alignment horizontal="right"/>
    </xf>
    <xf numFmtId="167" fontId="0" fillId="0" borderId="0" xfId="0" applyNumberFormat="1" applyBorder="1"/>
    <xf numFmtId="168" fontId="37" fillId="0" borderId="0" xfId="49" applyNumberFormat="1" applyFont="1" applyBorder="1" applyAlignment="1">
      <alignment horizontal="right"/>
    </xf>
    <xf numFmtId="169" fontId="37" fillId="0" borderId="0" xfId="49" applyNumberFormat="1" applyFont="1" applyBorder="1" applyAlignment="1">
      <alignment horizontal="right"/>
    </xf>
    <xf numFmtId="168" fontId="0" fillId="0" borderId="0" xfId="0" applyNumberFormat="1"/>
    <xf numFmtId="164" fontId="0" fillId="0" borderId="0" xfId="0" applyNumberFormat="1" applyBorder="1"/>
    <xf numFmtId="49" fontId="10" fillId="2" borderId="3" xfId="1" applyNumberFormat="1" applyFont="1" applyFill="1" applyBorder="1" applyAlignment="1">
      <alignment horizontal="left" vertical="center" wrapText="1"/>
    </xf>
    <xf numFmtId="49" fontId="10" fillId="0" borderId="3" xfId="1" applyNumberFormat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left" vertical="center" wrapText="1"/>
    </xf>
    <xf numFmtId="3" fontId="8" fillId="2" borderId="3" xfId="1" applyNumberFormat="1" applyFont="1" applyFill="1" applyBorder="1" applyAlignment="1">
      <alignment horizontal="center" vertical="center" wrapText="1"/>
    </xf>
    <xf numFmtId="3" fontId="10" fillId="2" borderId="3" xfId="1" applyNumberFormat="1" applyFont="1" applyFill="1" applyBorder="1" applyAlignment="1">
      <alignment horizontal="center" vertical="center" wrapText="1"/>
    </xf>
    <xf numFmtId="2" fontId="0" fillId="0" borderId="0" xfId="0" applyNumberFormat="1" applyBorder="1"/>
    <xf numFmtId="164" fontId="0" fillId="0" borderId="0" xfId="0" applyNumberFormat="1" applyBorder="1" applyAlignment="1">
      <alignment vertical="center"/>
    </xf>
    <xf numFmtId="0" fontId="8" fillId="2" borderId="3" xfId="1" applyNumberFormat="1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 vertical="center"/>
    </xf>
    <xf numFmtId="3" fontId="10" fillId="0" borderId="3" xfId="1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/>
    <xf numFmtId="0" fontId="8" fillId="2" borderId="3" xfId="1" applyFont="1" applyFill="1" applyBorder="1" applyAlignment="1">
      <alignment vertical="center" wrapText="1"/>
    </xf>
    <xf numFmtId="0" fontId="10" fillId="2" borderId="3" xfId="1" applyFont="1" applyFill="1" applyBorder="1" applyAlignment="1">
      <alignment vertical="center" wrapText="1"/>
    </xf>
    <xf numFmtId="0" fontId="10" fillId="2" borderId="3" xfId="48" applyNumberFormat="1" applyFont="1" applyFill="1" applyBorder="1" applyAlignment="1">
      <alignment vertical="center" wrapText="1"/>
    </xf>
    <xf numFmtId="0" fontId="12" fillId="0" borderId="0" xfId="48" applyFont="1" applyAlignment="1">
      <alignment vertical="center"/>
    </xf>
    <xf numFmtId="164" fontId="7" fillId="0" borderId="0" xfId="1" applyNumberFormat="1" applyFont="1" applyFill="1" applyAlignment="1">
      <alignment horizontal="center"/>
    </xf>
    <xf numFmtId="164" fontId="0" fillId="0" borderId="0" xfId="0" applyNumberFormat="1"/>
    <xf numFmtId="0" fontId="38" fillId="0" borderId="0" xfId="1" applyFont="1"/>
    <xf numFmtId="164" fontId="0" fillId="3" borderId="0" xfId="0" applyNumberFormat="1" applyFill="1"/>
    <xf numFmtId="0" fontId="7" fillId="0" borderId="0" xfId="1" applyFill="1" applyBorder="1"/>
    <xf numFmtId="0" fontId="12" fillId="0" borderId="0" xfId="0" applyFont="1" applyFill="1" applyAlignment="1">
      <alignment horizontal="right"/>
    </xf>
    <xf numFmtId="2" fontId="8" fillId="0" borderId="11" xfId="1" applyNumberFormat="1" applyFont="1" applyFill="1" applyBorder="1" applyAlignment="1">
      <alignment horizontal="center" vertical="center"/>
    </xf>
    <xf numFmtId="0" fontId="8" fillId="0" borderId="3" xfId="1" applyFont="1" applyBorder="1" applyAlignment="1">
      <alignment horizontal="center"/>
    </xf>
    <xf numFmtId="0" fontId="8" fillId="0" borderId="3" xfId="1" applyFont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/>
    </xf>
    <xf numFmtId="0" fontId="8" fillId="0" borderId="17" xfId="1" applyFont="1" applyBorder="1" applyAlignment="1">
      <alignment horizontal="center"/>
    </xf>
    <xf numFmtId="0" fontId="26" fillId="0" borderId="18" xfId="0" applyFont="1" applyFill="1" applyBorder="1" applyAlignment="1">
      <alignment horizontal="center"/>
    </xf>
    <xf numFmtId="0" fontId="8" fillId="2" borderId="17" xfId="1" applyFont="1" applyFill="1" applyBorder="1" applyAlignment="1">
      <alignment horizontal="center" vertical="center"/>
    </xf>
    <xf numFmtId="164" fontId="8" fillId="0" borderId="18" xfId="1" applyNumberFormat="1" applyFont="1" applyFill="1" applyBorder="1" applyAlignment="1">
      <alignment horizontal="center" vertical="center" wrapText="1"/>
    </xf>
    <xf numFmtId="49" fontId="8" fillId="2" borderId="17" xfId="1" applyNumberFormat="1" applyFont="1" applyFill="1" applyBorder="1" applyAlignment="1">
      <alignment horizontal="center" vertical="center"/>
    </xf>
    <xf numFmtId="49" fontId="10" fillId="2" borderId="17" xfId="1" applyNumberFormat="1" applyFont="1" applyFill="1" applyBorder="1" applyAlignment="1">
      <alignment horizontal="center" vertical="center"/>
    </xf>
    <xf numFmtId="49" fontId="10" fillId="0" borderId="17" xfId="1" applyNumberFormat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vertical="center" wrapText="1"/>
    </xf>
    <xf numFmtId="0" fontId="8" fillId="6" borderId="19" xfId="1" applyFont="1" applyFill="1" applyBorder="1" applyAlignment="1">
      <alignment horizontal="center" vertical="center"/>
    </xf>
    <xf numFmtId="0" fontId="8" fillId="6" borderId="20" xfId="1" applyFont="1" applyFill="1" applyBorder="1" applyAlignment="1">
      <alignment horizontal="center" vertical="center"/>
    </xf>
    <xf numFmtId="0" fontId="8" fillId="6" borderId="20" xfId="1" applyFont="1" applyFill="1" applyBorder="1" applyAlignment="1">
      <alignment horizontal="left" vertical="center" wrapText="1"/>
    </xf>
    <xf numFmtId="164" fontId="8" fillId="6" borderId="20" xfId="1" applyNumberFormat="1" applyFont="1" applyFill="1" applyBorder="1" applyAlignment="1">
      <alignment horizontal="center" vertical="center" wrapText="1"/>
    </xf>
    <xf numFmtId="164" fontId="8" fillId="6" borderId="21" xfId="1" applyNumberFormat="1" applyFont="1" applyFill="1" applyBorder="1" applyAlignment="1">
      <alignment horizontal="center" vertical="center" wrapText="1"/>
    </xf>
    <xf numFmtId="0" fontId="32" fillId="0" borderId="0" xfId="0" applyFont="1" applyBorder="1"/>
    <xf numFmtId="49" fontId="13" fillId="0" borderId="0" xfId="1" applyNumberFormat="1" applyFont="1" applyAlignment="1">
      <alignment horizontal="center"/>
    </xf>
    <xf numFmtId="49" fontId="13" fillId="0" borderId="0" xfId="1" applyNumberFormat="1" applyFont="1" applyAlignment="1">
      <alignment wrapText="1"/>
    </xf>
    <xf numFmtId="0" fontId="13" fillId="0" borderId="0" xfId="1" applyFont="1"/>
    <xf numFmtId="0" fontId="30" fillId="0" borderId="0" xfId="1" applyFont="1" applyFill="1" applyAlignment="1">
      <alignment horizontal="center"/>
    </xf>
    <xf numFmtId="49" fontId="30" fillId="0" borderId="1" xfId="1" applyNumberFormat="1" applyFont="1" applyFill="1" applyBorder="1" applyAlignment="1">
      <alignment horizontal="center" wrapText="1"/>
    </xf>
    <xf numFmtId="0" fontId="30" fillId="0" borderId="1" xfId="1" applyFont="1" applyFill="1" applyBorder="1" applyAlignment="1">
      <alignment horizontal="center" wrapText="1"/>
    </xf>
    <xf numFmtId="49" fontId="9" fillId="3" borderId="3" xfId="1" applyNumberFormat="1" applyFont="1" applyFill="1" applyBorder="1" applyAlignment="1">
      <alignment horizontal="center"/>
    </xf>
    <xf numFmtId="49" fontId="8" fillId="3" borderId="3" xfId="1" applyNumberFormat="1" applyFont="1" applyFill="1" applyBorder="1" applyAlignment="1">
      <alignment horizontal="center" wrapText="1"/>
    </xf>
    <xf numFmtId="49" fontId="8" fillId="3" borderId="3" xfId="1" applyNumberFormat="1" applyFont="1" applyFill="1" applyBorder="1" applyAlignment="1">
      <alignment horizontal="center"/>
    </xf>
    <xf numFmtId="0" fontId="28" fillId="0" borderId="0" xfId="0" applyFont="1" applyFill="1"/>
    <xf numFmtId="164" fontId="28" fillId="0" borderId="0" xfId="0" applyNumberFormat="1" applyFont="1" applyFill="1"/>
    <xf numFmtId="0" fontId="12" fillId="0" borderId="3" xfId="0" applyFont="1" applyFill="1" applyBorder="1" applyAlignment="1">
      <alignment horizontal="center"/>
    </xf>
    <xf numFmtId="0" fontId="31" fillId="0" borderId="3" xfId="0" applyFont="1" applyFill="1" applyBorder="1" applyAlignment="1">
      <alignment horizontal="center"/>
    </xf>
    <xf numFmtId="164" fontId="8" fillId="3" borderId="3" xfId="1" applyNumberFormat="1" applyFont="1" applyFill="1" applyBorder="1" applyAlignment="1">
      <alignment horizontal="center"/>
    </xf>
    <xf numFmtId="0" fontId="13" fillId="0" borderId="0" xfId="1" applyFont="1" applyFill="1"/>
    <xf numFmtId="164" fontId="13" fillId="0" borderId="0" xfId="1" applyNumberFormat="1" applyFont="1"/>
    <xf numFmtId="0" fontId="13" fillId="0" borderId="0" xfId="1" applyNumberFormat="1" applyFont="1" applyAlignment="1">
      <alignment horizontal="center"/>
    </xf>
    <xf numFmtId="49" fontId="13" fillId="0" borderId="0" xfId="1" applyNumberFormat="1" applyFont="1"/>
    <xf numFmtId="164" fontId="8" fillId="0" borderId="0" xfId="1" applyNumberFormat="1" applyFont="1"/>
    <xf numFmtId="164" fontId="42" fillId="2" borderId="0" xfId="1" applyNumberFormat="1" applyFont="1" applyFill="1" applyAlignment="1">
      <alignment horizontal="center"/>
    </xf>
    <xf numFmtId="164" fontId="10" fillId="0" borderId="4" xfId="1" applyNumberFormat="1" applyFont="1" applyFill="1" applyBorder="1" applyAlignment="1">
      <alignment horizontal="center" wrapText="1"/>
    </xf>
    <xf numFmtId="164" fontId="10" fillId="0" borderId="2" xfId="1" applyNumberFormat="1" applyFont="1" applyFill="1" applyBorder="1" applyAlignment="1">
      <alignment horizontal="center" wrapText="1"/>
    </xf>
    <xf numFmtId="164" fontId="20" fillId="4" borderId="4" xfId="1" applyNumberFormat="1" applyFont="1" applyFill="1" applyBorder="1" applyAlignment="1">
      <alignment horizontal="center"/>
    </xf>
    <xf numFmtId="0" fontId="13" fillId="0" borderId="3" xfId="1" applyFont="1" applyBorder="1"/>
    <xf numFmtId="0" fontId="41" fillId="0" borderId="3" xfId="0" applyFont="1" applyBorder="1" applyAlignment="1">
      <alignment horizontal="center" vertical="center"/>
    </xf>
    <xf numFmtId="0" fontId="21" fillId="0" borderId="3" xfId="0" applyFont="1" applyFill="1" applyBorder="1" applyAlignment="1">
      <alignment horizontal="center"/>
    </xf>
    <xf numFmtId="0" fontId="8" fillId="0" borderId="3" xfId="1" applyFont="1" applyFill="1" applyBorder="1" applyAlignment="1">
      <alignment horizontal="left" vertical="center" wrapText="1"/>
    </xf>
    <xf numFmtId="49" fontId="9" fillId="0" borderId="0" xfId="1" applyNumberFormat="1" applyFont="1" applyFill="1" applyAlignment="1">
      <alignment horizontal="left"/>
    </xf>
    <xf numFmtId="49" fontId="13" fillId="0" borderId="0" xfId="1" applyNumberFormat="1" applyFont="1" applyFill="1" applyAlignment="1">
      <alignment horizontal="center"/>
    </xf>
    <xf numFmtId="0" fontId="32" fillId="0" borderId="0" xfId="0" applyFont="1" applyFill="1"/>
    <xf numFmtId="49" fontId="40" fillId="0" borderId="0" xfId="1" applyNumberFormat="1" applyFont="1" applyFill="1"/>
    <xf numFmtId="49" fontId="13" fillId="0" borderId="0" xfId="1" applyNumberFormat="1" applyFont="1" applyFill="1" applyAlignment="1">
      <alignment wrapText="1"/>
    </xf>
    <xf numFmtId="49" fontId="40" fillId="0" borderId="0" xfId="1" applyNumberFormat="1" applyFont="1" applyFill="1" applyAlignment="1">
      <alignment horizontal="center"/>
    </xf>
    <xf numFmtId="49" fontId="30" fillId="0" borderId="0" xfId="1" applyNumberFormat="1" applyFont="1" applyFill="1" applyAlignment="1">
      <alignment horizontal="center" wrapText="1"/>
    </xf>
    <xf numFmtId="49" fontId="30" fillId="0" borderId="0" xfId="1" applyNumberFormat="1" applyFont="1" applyFill="1" applyAlignment="1">
      <alignment horizontal="center"/>
    </xf>
    <xf numFmtId="0" fontId="9" fillId="0" borderId="0" xfId="1" applyFont="1" applyFill="1" applyAlignment="1">
      <alignment horizontal="center"/>
    </xf>
    <xf numFmtId="0" fontId="32" fillId="0" borderId="0" xfId="0" applyFont="1" applyFill="1" applyBorder="1"/>
    <xf numFmtId="49" fontId="39" fillId="0" borderId="0" xfId="1" applyNumberFormat="1" applyFont="1" applyFill="1" applyBorder="1" applyAlignment="1">
      <alignment horizontal="center" vertical="center" wrapText="1"/>
    </xf>
    <xf numFmtId="49" fontId="39" fillId="0" borderId="5" xfId="1" applyNumberFormat="1" applyFont="1" applyFill="1" applyBorder="1" applyAlignment="1">
      <alignment horizontal="center" vertical="center" wrapText="1"/>
    </xf>
    <xf numFmtId="49" fontId="10" fillId="0" borderId="3" xfId="1" applyNumberFormat="1" applyFont="1" applyFill="1" applyBorder="1" applyAlignment="1">
      <alignment horizontal="center" wrapText="1"/>
    </xf>
    <xf numFmtId="0" fontId="10" fillId="0" borderId="3" xfId="1" applyFont="1" applyFill="1" applyBorder="1" applyAlignment="1">
      <alignment wrapText="1"/>
    </xf>
    <xf numFmtId="49" fontId="10" fillId="0" borderId="3" xfId="1" applyNumberFormat="1" applyFont="1" applyFill="1" applyBorder="1" applyAlignment="1">
      <alignment horizontal="left" wrapText="1"/>
    </xf>
    <xf numFmtId="49" fontId="10" fillId="0" borderId="3" xfId="1" applyNumberFormat="1" applyFont="1" applyFill="1" applyBorder="1" applyAlignment="1">
      <alignment wrapText="1"/>
    </xf>
    <xf numFmtId="49" fontId="8" fillId="0" borderId="3" xfId="1" applyNumberFormat="1" applyFont="1" applyFill="1" applyBorder="1" applyAlignment="1">
      <alignment horizontal="center" wrapText="1"/>
    </xf>
    <xf numFmtId="49" fontId="20" fillId="0" borderId="4" xfId="1" applyNumberFormat="1" applyFont="1" applyFill="1" applyBorder="1" applyAlignment="1">
      <alignment horizontal="center" wrapText="1"/>
    </xf>
    <xf numFmtId="49" fontId="10" fillId="0" borderId="4" xfId="1" applyNumberFormat="1" applyFont="1" applyFill="1" applyBorder="1" applyAlignment="1">
      <alignment horizontal="center" wrapText="1"/>
    </xf>
    <xf numFmtId="170" fontId="10" fillId="0" borderId="3" xfId="1" applyNumberFormat="1" applyFont="1" applyFill="1" applyBorder="1" applyAlignment="1">
      <alignment horizontal="center"/>
    </xf>
    <xf numFmtId="49" fontId="30" fillId="0" borderId="3" xfId="1" applyNumberFormat="1" applyFont="1" applyFill="1" applyBorder="1" applyAlignment="1">
      <alignment horizontal="center"/>
    </xf>
    <xf numFmtId="49" fontId="24" fillId="0" borderId="1" xfId="1" applyNumberFormat="1" applyFont="1" applyFill="1" applyBorder="1" applyAlignment="1">
      <alignment horizontal="center" wrapText="1"/>
    </xf>
    <xf numFmtId="49" fontId="25" fillId="0" borderId="1" xfId="1" applyNumberFormat="1" applyFont="1" applyFill="1" applyBorder="1" applyAlignment="1">
      <alignment horizontal="center" wrapText="1"/>
    </xf>
    <xf numFmtId="49" fontId="10" fillId="0" borderId="4" xfId="1" applyNumberFormat="1" applyFont="1" applyFill="1" applyBorder="1" applyAlignment="1">
      <alignment wrapText="1"/>
    </xf>
    <xf numFmtId="49" fontId="9" fillId="0" borderId="0" xfId="1" applyNumberFormat="1" applyFont="1" applyFill="1" applyAlignment="1">
      <alignment horizontal="right"/>
    </xf>
    <xf numFmtId="0" fontId="9" fillId="0" borderId="0" xfId="1" applyNumberFormat="1" applyFont="1" applyFill="1" applyAlignment="1">
      <alignment horizontal="right"/>
    </xf>
    <xf numFmtId="0" fontId="8" fillId="0" borderId="0" xfId="1" applyFont="1" applyFill="1" applyAlignment="1">
      <alignment horizontal="center"/>
    </xf>
    <xf numFmtId="0" fontId="8" fillId="0" borderId="0" xfId="1" applyNumberFormat="1" applyFont="1" applyFill="1" applyAlignment="1"/>
    <xf numFmtId="49" fontId="8" fillId="0" borderId="0" xfId="1" applyNumberFormat="1" applyFont="1" applyFill="1" applyAlignment="1">
      <alignment horizontal="right" wrapText="1"/>
    </xf>
    <xf numFmtId="49" fontId="9" fillId="0" borderId="0" xfId="1" applyNumberFormat="1" applyFont="1" applyFill="1" applyAlignment="1">
      <alignment horizontal="center" wrapText="1"/>
    </xf>
    <xf numFmtId="49" fontId="39" fillId="0" borderId="0" xfId="1" applyNumberFormat="1" applyFont="1" applyFill="1" applyBorder="1" applyAlignment="1">
      <alignment horizontal="center" wrapText="1"/>
    </xf>
    <xf numFmtId="0" fontId="9" fillId="0" borderId="3" xfId="1" applyFont="1" applyFill="1" applyBorder="1" applyAlignment="1">
      <alignment horizontal="center"/>
    </xf>
    <xf numFmtId="49" fontId="9" fillId="0" borderId="1" xfId="1" applyNumberFormat="1" applyFont="1" applyFill="1" applyBorder="1" applyAlignment="1">
      <alignment horizontal="center" wrapText="1"/>
    </xf>
    <xf numFmtId="0" fontId="9" fillId="0" borderId="1" xfId="1" applyNumberFormat="1" applyFont="1" applyFill="1" applyBorder="1" applyAlignment="1">
      <alignment horizontal="center" wrapText="1"/>
    </xf>
    <xf numFmtId="0" fontId="9" fillId="0" borderId="2" xfId="1" applyFont="1" applyFill="1" applyBorder="1" applyAlignment="1">
      <alignment horizontal="center" wrapText="1"/>
    </xf>
    <xf numFmtId="0" fontId="43" fillId="0" borderId="3" xfId="1" applyFont="1" applyFill="1" applyBorder="1" applyAlignment="1">
      <alignment horizontal="center"/>
    </xf>
    <xf numFmtId="49" fontId="10" fillId="0" borderId="1" xfId="1" applyNumberFormat="1" applyFont="1" applyFill="1" applyBorder="1" applyAlignment="1">
      <alignment horizontal="left" vertical="top" wrapText="1"/>
    </xf>
    <xf numFmtId="4" fontId="10" fillId="0" borderId="3" xfId="1" applyNumberFormat="1" applyFont="1" applyFill="1" applyBorder="1" applyAlignment="1">
      <alignment horizontal="center"/>
    </xf>
    <xf numFmtId="0" fontId="10" fillId="0" borderId="3" xfId="1" applyNumberFormat="1" applyFont="1" applyFill="1" applyBorder="1" applyAlignment="1">
      <alignment horizontal="center" wrapText="1"/>
    </xf>
    <xf numFmtId="49" fontId="10" fillId="0" borderId="6" xfId="1" applyNumberFormat="1" applyFont="1" applyFill="1" applyBorder="1" applyAlignment="1">
      <alignment horizontal="left" wrapText="1"/>
    </xf>
    <xf numFmtId="49" fontId="10" fillId="0" borderId="7" xfId="1" applyNumberFormat="1" applyFont="1" applyFill="1" applyBorder="1" applyAlignment="1">
      <alignment horizontal="left" wrapText="1"/>
    </xf>
    <xf numFmtId="49" fontId="30" fillId="0" borderId="3" xfId="1" applyNumberFormat="1" applyFont="1" applyFill="1" applyBorder="1" applyAlignment="1">
      <alignment horizontal="center" vertical="center"/>
    </xf>
    <xf numFmtId="0" fontId="21" fillId="0" borderId="3" xfId="26" applyFont="1" applyFill="1" applyBorder="1" applyAlignment="1">
      <alignment wrapText="1"/>
    </xf>
    <xf numFmtId="49" fontId="10" fillId="0" borderId="6" xfId="1" applyNumberFormat="1" applyFont="1" applyFill="1" applyBorder="1" applyAlignment="1">
      <alignment wrapText="1"/>
    </xf>
    <xf numFmtId="170" fontId="10" fillId="0" borderId="2" xfId="1" applyNumberFormat="1" applyFont="1" applyFill="1" applyBorder="1" applyAlignment="1">
      <alignment horizontal="center"/>
    </xf>
    <xf numFmtId="49" fontId="10" fillId="0" borderId="5" xfId="1" applyNumberFormat="1" applyFont="1" applyFill="1" applyBorder="1" applyAlignment="1">
      <alignment horizontal="left" wrapText="1"/>
    </xf>
    <xf numFmtId="3" fontId="10" fillId="0" borderId="1" xfId="1" applyNumberFormat="1" applyFont="1" applyFill="1" applyBorder="1" applyAlignment="1">
      <alignment horizontal="center" wrapText="1"/>
    </xf>
    <xf numFmtId="0" fontId="21" fillId="0" borderId="6" xfId="26" applyFont="1" applyFill="1" applyBorder="1" applyAlignment="1">
      <alignment wrapText="1"/>
    </xf>
    <xf numFmtId="49" fontId="10" fillId="0" borderId="8" xfId="1" applyNumberFormat="1" applyFont="1" applyFill="1" applyBorder="1" applyAlignment="1">
      <alignment horizontal="left" wrapText="1"/>
    </xf>
    <xf numFmtId="0" fontId="10" fillId="0" borderId="6" xfId="1" applyFont="1" applyFill="1" applyBorder="1" applyAlignment="1">
      <alignment wrapText="1"/>
    </xf>
    <xf numFmtId="165" fontId="10" fillId="0" borderId="5" xfId="1" applyNumberFormat="1" applyFont="1" applyFill="1" applyBorder="1" applyAlignment="1">
      <alignment horizontal="left" vertical="center" wrapText="1"/>
    </xf>
    <xf numFmtId="0" fontId="21" fillId="0" borderId="2" xfId="28" applyFont="1" applyFill="1" applyBorder="1"/>
    <xf numFmtId="0" fontId="21" fillId="0" borderId="2" xfId="28" applyFont="1" applyFill="1" applyBorder="1" applyAlignment="1">
      <alignment wrapText="1"/>
    </xf>
    <xf numFmtId="49" fontId="10" fillId="0" borderId="2" xfId="1" applyNumberFormat="1" applyFont="1" applyFill="1" applyBorder="1" applyAlignment="1">
      <alignment horizontal="left" vertical="top" wrapText="1"/>
    </xf>
    <xf numFmtId="0" fontId="23" fillId="0" borderId="3" xfId="26" applyFont="1" applyFill="1" applyBorder="1" applyAlignment="1">
      <alignment horizontal="justify"/>
    </xf>
    <xf numFmtId="0" fontId="21" fillId="0" borderId="3" xfId="27" applyFont="1" applyFill="1" applyBorder="1" applyAlignment="1">
      <alignment wrapText="1"/>
    </xf>
    <xf numFmtId="0" fontId="21" fillId="0" borderId="3" xfId="26" applyFont="1" applyFill="1" applyBorder="1" applyAlignment="1">
      <alignment horizontal="left" wrapText="1"/>
    </xf>
    <xf numFmtId="49" fontId="8" fillId="0" borderId="4" xfId="1" applyNumberFormat="1" applyFont="1" applyFill="1" applyBorder="1" applyAlignment="1">
      <alignment horizontal="center" wrapText="1"/>
    </xf>
    <xf numFmtId="0" fontId="21" fillId="0" borderId="5" xfId="26" applyFont="1" applyFill="1" applyBorder="1" applyAlignment="1">
      <alignment wrapText="1"/>
    </xf>
    <xf numFmtId="3" fontId="10" fillId="0" borderId="5" xfId="1" applyNumberFormat="1" applyFont="1" applyFill="1" applyBorder="1" applyAlignment="1">
      <alignment horizontal="center" wrapText="1"/>
    </xf>
    <xf numFmtId="0" fontId="45" fillId="0" borderId="0" xfId="1" applyFont="1" applyFill="1"/>
    <xf numFmtId="164" fontId="32" fillId="0" borderId="0" xfId="0" applyNumberFormat="1" applyFont="1"/>
    <xf numFmtId="0" fontId="13" fillId="0" borderId="23" xfId="1" applyFont="1" applyBorder="1"/>
    <xf numFmtId="164" fontId="8" fillId="0" borderId="1" xfId="1" applyNumberFormat="1" applyFont="1" applyFill="1" applyBorder="1" applyAlignment="1">
      <alignment horizontal="center" wrapText="1"/>
    </xf>
    <xf numFmtId="164" fontId="10" fillId="0" borderId="1" xfId="1" applyNumberFormat="1" applyFont="1" applyFill="1" applyBorder="1" applyAlignment="1">
      <alignment horizontal="center" wrapText="1"/>
    </xf>
    <xf numFmtId="170" fontId="21" fillId="0" borderId="3" xfId="0" applyNumberFormat="1" applyFont="1" applyFill="1" applyBorder="1" applyAlignment="1">
      <alignment horizontal="center"/>
    </xf>
    <xf numFmtId="4" fontId="10" fillId="0" borderId="2" xfId="1" applyNumberFormat="1" applyFont="1" applyFill="1" applyBorder="1" applyAlignment="1">
      <alignment horizontal="center" wrapText="1"/>
    </xf>
    <xf numFmtId="164" fontId="10" fillId="0" borderId="3" xfId="1" applyNumberFormat="1" applyFont="1" applyFill="1" applyBorder="1" applyAlignment="1">
      <alignment horizontal="center" wrapText="1"/>
    </xf>
    <xf numFmtId="164" fontId="10" fillId="0" borderId="3" xfId="1" applyNumberFormat="1" applyFont="1" applyFill="1" applyBorder="1" applyAlignment="1">
      <alignment horizontal="center"/>
    </xf>
    <xf numFmtId="164" fontId="21" fillId="0" borderId="3" xfId="0" applyNumberFormat="1" applyFont="1" applyFill="1" applyBorder="1" applyAlignment="1">
      <alignment horizontal="center"/>
    </xf>
    <xf numFmtId="4" fontId="10" fillId="0" borderId="1" xfId="1" applyNumberFormat="1" applyFont="1" applyFill="1" applyBorder="1" applyAlignment="1">
      <alignment horizontal="center" wrapText="1"/>
    </xf>
    <xf numFmtId="4" fontId="10" fillId="0" borderId="3" xfId="1" applyNumberFormat="1" applyFont="1" applyFill="1" applyBorder="1" applyAlignment="1">
      <alignment horizontal="center" wrapText="1"/>
    </xf>
    <xf numFmtId="164" fontId="20" fillId="0" borderId="1" xfId="1" applyNumberFormat="1" applyFont="1" applyFill="1" applyBorder="1" applyAlignment="1">
      <alignment horizontal="center" wrapText="1"/>
    </xf>
    <xf numFmtId="164" fontId="20" fillId="0" borderId="3" xfId="1" applyNumberFormat="1" applyFont="1" applyFill="1" applyBorder="1" applyAlignment="1">
      <alignment horizontal="center" wrapText="1"/>
    </xf>
    <xf numFmtId="2" fontId="10" fillId="0" borderId="3" xfId="1" applyNumberFormat="1" applyFont="1" applyFill="1" applyBorder="1" applyAlignment="1">
      <alignment horizontal="center"/>
    </xf>
    <xf numFmtId="164" fontId="22" fillId="0" borderId="3" xfId="1" applyNumberFormat="1" applyFont="1" applyFill="1" applyBorder="1" applyAlignment="1">
      <alignment horizontal="center" wrapText="1"/>
    </xf>
    <xf numFmtId="2" fontId="10" fillId="0" borderId="3" xfId="1" applyNumberFormat="1" applyFont="1" applyFill="1" applyBorder="1" applyAlignment="1">
      <alignment horizontal="center" wrapText="1"/>
    </xf>
    <xf numFmtId="170" fontId="8" fillId="0" borderId="1" xfId="1" applyNumberFormat="1" applyFont="1" applyFill="1" applyBorder="1" applyAlignment="1">
      <alignment horizontal="center" wrapText="1"/>
    </xf>
    <xf numFmtId="170" fontId="26" fillId="0" borderId="3" xfId="0" applyNumberFormat="1" applyFont="1" applyFill="1" applyBorder="1" applyAlignment="1">
      <alignment horizontal="center"/>
    </xf>
    <xf numFmtId="49" fontId="8" fillId="0" borderId="1" xfId="1" applyNumberFormat="1" applyFont="1" applyFill="1" applyBorder="1" applyAlignment="1">
      <alignment horizontal="center"/>
    </xf>
    <xf numFmtId="170" fontId="26" fillId="0" borderId="1" xfId="0" applyNumberFormat="1" applyFont="1" applyFill="1" applyBorder="1" applyAlignment="1">
      <alignment horizontal="center"/>
    </xf>
    <xf numFmtId="43" fontId="10" fillId="0" borderId="3" xfId="50" applyFont="1" applyFill="1" applyBorder="1" applyAlignment="1">
      <alignment horizontal="center" wrapText="1"/>
    </xf>
    <xf numFmtId="43" fontId="21" fillId="0" borderId="3" xfId="50" applyFont="1" applyFill="1" applyBorder="1" applyAlignment="1">
      <alignment horizontal="center"/>
    </xf>
    <xf numFmtId="164" fontId="10" fillId="0" borderId="3" xfId="0" applyNumberFormat="1" applyFont="1" applyFill="1" applyBorder="1" applyAlignment="1">
      <alignment horizontal="center"/>
    </xf>
    <xf numFmtId="164" fontId="10" fillId="0" borderId="1" xfId="0" applyNumberFormat="1" applyFont="1" applyFill="1" applyBorder="1" applyAlignment="1">
      <alignment horizontal="center"/>
    </xf>
    <xf numFmtId="164" fontId="8" fillId="0" borderId="3" xfId="1" applyNumberFormat="1" applyFont="1" applyFill="1" applyBorder="1" applyAlignment="1">
      <alignment horizontal="center" wrapText="1"/>
    </xf>
    <xf numFmtId="49" fontId="8" fillId="7" borderId="3" xfId="1" applyNumberFormat="1" applyFont="1" applyFill="1" applyBorder="1" applyAlignment="1">
      <alignment horizontal="center"/>
    </xf>
    <xf numFmtId="49" fontId="8" fillId="7" borderId="2" xfId="1" applyNumberFormat="1" applyFont="1" applyFill="1" applyBorder="1" applyAlignment="1">
      <alignment wrapText="1"/>
    </xf>
    <xf numFmtId="49" fontId="8" fillId="7" borderId="1" xfId="1" applyNumberFormat="1" applyFont="1" applyFill="1" applyBorder="1" applyAlignment="1">
      <alignment horizontal="center" wrapText="1"/>
    </xf>
    <xf numFmtId="0" fontId="8" fillId="7" borderId="5" xfId="1" applyNumberFormat="1" applyFont="1" applyFill="1" applyBorder="1" applyAlignment="1">
      <alignment horizontal="center" wrapText="1"/>
    </xf>
    <xf numFmtId="164" fontId="10" fillId="7" borderId="4" xfId="1" applyNumberFormat="1" applyFont="1" applyFill="1" applyBorder="1" applyAlignment="1">
      <alignment horizontal="center" wrapText="1"/>
    </xf>
    <xf numFmtId="0" fontId="26" fillId="7" borderId="2" xfId="26" applyFont="1" applyFill="1" applyBorder="1" applyAlignment="1">
      <alignment wrapText="1"/>
    </xf>
    <xf numFmtId="0" fontId="10" fillId="7" borderId="5" xfId="1" applyNumberFormat="1" applyFont="1" applyFill="1" applyBorder="1" applyAlignment="1">
      <alignment horizontal="center" wrapText="1"/>
    </xf>
    <xf numFmtId="49" fontId="10" fillId="7" borderId="1" xfId="1" applyNumberFormat="1" applyFont="1" applyFill="1" applyBorder="1" applyAlignment="1">
      <alignment horizontal="center" wrapText="1"/>
    </xf>
    <xf numFmtId="164" fontId="8" fillId="7" borderId="2" xfId="1" applyNumberFormat="1" applyFont="1" applyFill="1" applyBorder="1" applyAlignment="1">
      <alignment horizontal="center" wrapText="1"/>
    </xf>
    <xf numFmtId="49" fontId="8" fillId="7" borderId="3" xfId="1" applyNumberFormat="1" applyFont="1" applyFill="1" applyBorder="1" applyAlignment="1">
      <alignment wrapText="1"/>
    </xf>
    <xf numFmtId="0" fontId="8" fillId="7" borderId="1" xfId="1" applyNumberFormat="1" applyFont="1" applyFill="1" applyBorder="1" applyAlignment="1">
      <alignment horizontal="center" wrapText="1"/>
    </xf>
    <xf numFmtId="164" fontId="8" fillId="7" borderId="4" xfId="1" applyNumberFormat="1" applyFont="1" applyFill="1" applyBorder="1" applyAlignment="1">
      <alignment horizontal="center" wrapText="1"/>
    </xf>
    <xf numFmtId="49" fontId="8" fillId="7" borderId="2" xfId="1" applyNumberFormat="1" applyFont="1" applyFill="1" applyBorder="1" applyAlignment="1">
      <alignment horizontal="left" wrapText="1"/>
    </xf>
    <xf numFmtId="49" fontId="8" fillId="7" borderId="5" xfId="1" applyNumberFormat="1" applyFont="1" applyFill="1" applyBorder="1" applyAlignment="1">
      <alignment horizontal="left" wrapText="1"/>
    </xf>
    <xf numFmtId="49" fontId="8" fillId="7" borderId="1" xfId="1" applyNumberFormat="1" applyFont="1" applyFill="1" applyBorder="1" applyAlignment="1">
      <alignment horizontal="left" wrapText="1"/>
    </xf>
    <xf numFmtId="164" fontId="10" fillId="0" borderId="3" xfId="49" applyNumberFormat="1" applyFont="1" applyFill="1" applyBorder="1" applyAlignment="1">
      <alignment horizontal="center" vertical="center"/>
    </xf>
    <xf numFmtId="164" fontId="10" fillId="0" borderId="18" xfId="1" applyNumberFormat="1" applyFont="1" applyFill="1" applyBorder="1" applyAlignment="1">
      <alignment horizontal="center" vertical="center" wrapText="1"/>
    </xf>
    <xf numFmtId="164" fontId="10" fillId="0" borderId="3" xfId="1" applyNumberFormat="1" applyFont="1" applyFill="1" applyBorder="1" applyAlignment="1">
      <alignment horizontal="center" vertical="center" wrapText="1"/>
    </xf>
    <xf numFmtId="164" fontId="21" fillId="0" borderId="18" xfId="0" applyNumberFormat="1" applyFont="1" applyFill="1" applyBorder="1" applyAlignment="1">
      <alignment horizontal="center" vertical="center"/>
    </xf>
    <xf numFmtId="170" fontId="21" fillId="0" borderId="3" xfId="0" applyNumberFormat="1" applyFont="1" applyFill="1" applyBorder="1" applyAlignment="1">
      <alignment horizontal="center" vertical="center"/>
    </xf>
    <xf numFmtId="170" fontId="21" fillId="0" borderId="18" xfId="0" applyNumberFormat="1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170" fontId="10" fillId="0" borderId="3" xfId="1" applyNumberFormat="1" applyFont="1" applyFill="1" applyBorder="1" applyAlignment="1">
      <alignment horizontal="center" vertical="center"/>
    </xf>
    <xf numFmtId="2" fontId="21" fillId="0" borderId="3" xfId="0" applyNumberFormat="1" applyFont="1" applyFill="1" applyBorder="1" applyAlignment="1">
      <alignment horizontal="center"/>
    </xf>
    <xf numFmtId="0" fontId="12" fillId="0" borderId="3" xfId="0" applyFont="1" applyBorder="1" applyAlignment="1">
      <alignment horizontal="left" vertical="center"/>
    </xf>
    <xf numFmtId="170" fontId="21" fillId="0" borderId="1" xfId="0" applyNumberFormat="1" applyFont="1" applyFill="1" applyBorder="1" applyAlignment="1">
      <alignment horizontal="center"/>
    </xf>
    <xf numFmtId="0" fontId="9" fillId="0" borderId="2" xfId="1" applyNumberFormat="1" applyFont="1" applyFill="1" applyBorder="1" applyAlignment="1">
      <alignment vertical="top" wrapText="1"/>
    </xf>
    <xf numFmtId="0" fontId="10" fillId="0" borderId="2" xfId="1" applyNumberFormat="1" applyFont="1" applyFill="1" applyBorder="1" applyAlignment="1">
      <alignment vertical="top" wrapText="1"/>
    </xf>
    <xf numFmtId="0" fontId="10" fillId="0" borderId="2" xfId="1" applyNumberFormat="1" applyFont="1" applyFill="1" applyBorder="1" applyAlignment="1">
      <alignment horizontal="left" vertical="top" wrapText="1"/>
    </xf>
    <xf numFmtId="0" fontId="10" fillId="0" borderId="2" xfId="1" applyNumberFormat="1" applyFont="1" applyFill="1" applyBorder="1" applyAlignment="1">
      <alignment wrapText="1"/>
    </xf>
    <xf numFmtId="0" fontId="30" fillId="0" borderId="2" xfId="1" applyNumberFormat="1" applyFont="1" applyFill="1" applyBorder="1" applyAlignment="1">
      <alignment wrapText="1"/>
    </xf>
    <xf numFmtId="0" fontId="21" fillId="0" borderId="3" xfId="0" applyNumberFormat="1" applyFont="1" applyFill="1" applyBorder="1" applyAlignment="1">
      <alignment wrapText="1"/>
    </xf>
    <xf numFmtId="0" fontId="10" fillId="0" borderId="2" xfId="1" applyNumberFormat="1" applyFont="1" applyFill="1" applyBorder="1" applyAlignment="1">
      <alignment horizontal="left" wrapText="1"/>
    </xf>
    <xf numFmtId="0" fontId="30" fillId="0" borderId="2" xfId="1" applyNumberFormat="1" applyFont="1" applyFill="1" applyBorder="1" applyAlignment="1">
      <alignment horizontal="left" wrapText="1"/>
    </xf>
    <xf numFmtId="49" fontId="30" fillId="0" borderId="2" xfId="1" applyNumberFormat="1" applyFont="1" applyFill="1" applyBorder="1" applyAlignment="1">
      <alignment wrapText="1"/>
    </xf>
    <xf numFmtId="0" fontId="8" fillId="0" borderId="1" xfId="1" applyNumberFormat="1" applyFont="1" applyFill="1" applyBorder="1" applyAlignment="1">
      <alignment horizontal="center" wrapText="1"/>
    </xf>
    <xf numFmtId="164" fontId="8" fillId="0" borderId="4" xfId="1" applyNumberFormat="1" applyFont="1" applyFill="1" applyBorder="1" applyAlignment="1">
      <alignment horizontal="center" wrapText="1"/>
    </xf>
    <xf numFmtId="0" fontId="9" fillId="0" borderId="4" xfId="1" applyFont="1" applyFill="1" applyBorder="1" applyAlignment="1">
      <alignment wrapText="1"/>
    </xf>
    <xf numFmtId="49" fontId="9" fillId="0" borderId="1" xfId="1" applyNumberFormat="1" applyFont="1" applyFill="1" applyBorder="1" applyAlignment="1">
      <alignment horizontal="left" wrapText="1"/>
    </xf>
    <xf numFmtId="0" fontId="30" fillId="0" borderId="3" xfId="1" applyFont="1" applyFill="1" applyBorder="1" applyAlignment="1">
      <alignment wrapText="1"/>
    </xf>
    <xf numFmtId="49" fontId="30" fillId="0" borderId="1" xfId="1" applyNumberFormat="1" applyFont="1" applyFill="1" applyBorder="1" applyAlignment="1">
      <alignment horizontal="left" wrapText="1"/>
    </xf>
    <xf numFmtId="49" fontId="30" fillId="0" borderId="3" xfId="1" applyNumberFormat="1" applyFont="1" applyFill="1" applyBorder="1" applyAlignment="1">
      <alignment horizontal="left" wrapText="1"/>
    </xf>
    <xf numFmtId="0" fontId="12" fillId="0" borderId="3" xfId="24" applyFont="1" applyFill="1" applyBorder="1" applyAlignment="1">
      <alignment wrapText="1"/>
    </xf>
    <xf numFmtId="49" fontId="30" fillId="0" borderId="3" xfId="1" applyNumberFormat="1" applyFont="1" applyFill="1" applyBorder="1" applyAlignment="1">
      <alignment wrapText="1"/>
    </xf>
    <xf numFmtId="49" fontId="30" fillId="0" borderId="2" xfId="1" applyNumberFormat="1" applyFont="1" applyFill="1" applyBorder="1" applyAlignment="1">
      <alignment horizontal="left" wrapText="1"/>
    </xf>
    <xf numFmtId="49" fontId="9" fillId="0" borderId="2" xfId="1" applyNumberFormat="1" applyFont="1" applyFill="1" applyBorder="1" applyAlignment="1">
      <alignment horizontal="left" wrapText="1"/>
    </xf>
    <xf numFmtId="49" fontId="9" fillId="0" borderId="4" xfId="1" applyNumberFormat="1" applyFont="1" applyFill="1" applyBorder="1" applyAlignment="1">
      <alignment horizontal="left" wrapText="1"/>
    </xf>
    <xf numFmtId="49" fontId="30" fillId="0" borderId="4" xfId="1" applyNumberFormat="1" applyFont="1" applyFill="1" applyBorder="1" applyAlignment="1">
      <alignment wrapText="1"/>
    </xf>
    <xf numFmtId="49" fontId="30" fillId="0" borderId="4" xfId="1" applyNumberFormat="1" applyFont="1" applyFill="1" applyBorder="1" applyAlignment="1">
      <alignment horizontal="left" wrapText="1"/>
    </xf>
    <xf numFmtId="0" fontId="31" fillId="0" borderId="2" xfId="24" applyFont="1" applyFill="1" applyBorder="1" applyAlignment="1">
      <alignment wrapText="1"/>
    </xf>
    <xf numFmtId="165" fontId="30" fillId="0" borderId="2" xfId="1" applyNumberFormat="1" applyFont="1" applyFill="1" applyBorder="1" applyAlignment="1">
      <alignment horizontal="left" vertical="center" wrapText="1"/>
    </xf>
    <xf numFmtId="0" fontId="12" fillId="0" borderId="2" xfId="24" applyFont="1" applyFill="1" applyBorder="1"/>
    <xf numFmtId="0" fontId="12" fillId="0" borderId="2" xfId="24" applyFont="1" applyFill="1" applyBorder="1" applyAlignment="1">
      <alignment wrapText="1"/>
    </xf>
    <xf numFmtId="49" fontId="9" fillId="0" borderId="2" xfId="1" applyNumberFormat="1" applyFont="1" applyFill="1" applyBorder="1" applyAlignment="1">
      <alignment wrapText="1"/>
    </xf>
    <xf numFmtId="49" fontId="9" fillId="0" borderId="2" xfId="1" applyNumberFormat="1" applyFont="1" applyFill="1" applyBorder="1" applyAlignment="1">
      <alignment horizontal="left" vertical="top" wrapText="1"/>
    </xf>
    <xf numFmtId="0" fontId="47" fillId="0" borderId="3" xfId="24" applyFont="1" applyFill="1" applyBorder="1" applyAlignment="1">
      <alignment horizontal="justify"/>
    </xf>
    <xf numFmtId="0" fontId="12" fillId="0" borderId="0" xfId="0" applyFont="1" applyFill="1" applyAlignment="1">
      <alignment wrapText="1"/>
    </xf>
    <xf numFmtId="49" fontId="9" fillId="0" borderId="3" xfId="1" applyNumberFormat="1" applyFont="1" applyFill="1" applyBorder="1" applyAlignment="1">
      <alignment wrapText="1"/>
    </xf>
    <xf numFmtId="0" fontId="12" fillId="0" borderId="3" xfId="25" applyFont="1" applyFill="1" applyBorder="1" applyAlignment="1">
      <alignment wrapText="1"/>
    </xf>
    <xf numFmtId="0" fontId="31" fillId="0" borderId="3" xfId="24" applyFont="1" applyFill="1" applyBorder="1" applyAlignment="1">
      <alignment wrapText="1"/>
    </xf>
    <xf numFmtId="0" fontId="12" fillId="0" borderId="3" xfId="0" applyNumberFormat="1" applyFont="1" applyFill="1" applyBorder="1" applyAlignment="1">
      <alignment wrapText="1"/>
    </xf>
    <xf numFmtId="0" fontId="9" fillId="0" borderId="3" xfId="1" applyFont="1" applyFill="1" applyBorder="1" applyAlignment="1">
      <alignment horizontal="left" wrapText="1"/>
    </xf>
    <xf numFmtId="49" fontId="9" fillId="0" borderId="4" xfId="1" applyNumberFormat="1" applyFont="1" applyFill="1" applyBorder="1" applyAlignment="1">
      <alignment wrapText="1"/>
    </xf>
    <xf numFmtId="49" fontId="9" fillId="0" borderId="3" xfId="1" applyNumberFormat="1" applyFont="1" applyFill="1" applyBorder="1" applyAlignment="1">
      <alignment horizontal="left" wrapText="1"/>
    </xf>
    <xf numFmtId="0" fontId="31" fillId="0" borderId="3" xfId="17" applyFont="1" applyFill="1" applyBorder="1" applyAlignment="1">
      <alignment horizontal="left" vertical="center" wrapText="1"/>
    </xf>
    <xf numFmtId="49" fontId="9" fillId="0" borderId="3" xfId="1" applyNumberFormat="1" applyFont="1" applyFill="1" applyBorder="1" applyAlignment="1">
      <alignment horizontal="left" vertical="center" wrapText="1"/>
    </xf>
    <xf numFmtId="49" fontId="30" fillId="0" borderId="3" xfId="1" applyNumberFormat="1" applyFont="1" applyFill="1" applyBorder="1" applyAlignment="1">
      <alignment horizontal="left" vertical="center" wrapText="1"/>
    </xf>
    <xf numFmtId="49" fontId="9" fillId="3" borderId="3" xfId="1" applyNumberFormat="1" applyFont="1" applyFill="1" applyBorder="1" applyAlignment="1">
      <alignment horizontal="left" wrapText="1"/>
    </xf>
    <xf numFmtId="0" fontId="9" fillId="0" borderId="0" xfId="0" applyFont="1" applyAlignment="1">
      <alignment horizontal="right"/>
    </xf>
    <xf numFmtId="0" fontId="8" fillId="0" borderId="0" xfId="1" applyFont="1" applyAlignment="1">
      <alignment horizontal="right"/>
    </xf>
    <xf numFmtId="2" fontId="8" fillId="0" borderId="13" xfId="1" applyNumberFormat="1" applyFont="1" applyFill="1" applyBorder="1" applyAlignment="1">
      <alignment horizontal="center" vertical="center"/>
    </xf>
    <xf numFmtId="2" fontId="8" fillId="0" borderId="14" xfId="1" applyNumberFormat="1" applyFont="1" applyFill="1" applyBorder="1" applyAlignment="1">
      <alignment horizontal="center" vertical="center"/>
    </xf>
    <xf numFmtId="0" fontId="33" fillId="0" borderId="0" xfId="1" applyFont="1" applyAlignment="1">
      <alignment horizontal="right"/>
    </xf>
    <xf numFmtId="0" fontId="8" fillId="2" borderId="0" xfId="1" applyFont="1" applyFill="1" applyAlignment="1">
      <alignment horizontal="right"/>
    </xf>
    <xf numFmtId="0" fontId="9" fillId="0" borderId="0" xfId="1" applyFont="1" applyAlignment="1">
      <alignment horizontal="center"/>
    </xf>
    <xf numFmtId="0" fontId="11" fillId="0" borderId="0" xfId="1" applyFont="1" applyAlignment="1">
      <alignment horizontal="center"/>
    </xf>
    <xf numFmtId="0" fontId="8" fillId="0" borderId="12" xfId="1" applyFont="1" applyBorder="1" applyAlignment="1">
      <alignment horizontal="center" vertical="center"/>
    </xf>
    <xf numFmtId="0" fontId="8" fillId="0" borderId="15" xfId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0" fontId="8" fillId="0" borderId="10" xfId="1" applyFont="1" applyFill="1" applyBorder="1" applyAlignment="1">
      <alignment horizontal="center" vertical="center" wrapText="1"/>
    </xf>
    <xf numFmtId="0" fontId="8" fillId="0" borderId="9" xfId="1" applyFont="1" applyFill="1" applyBorder="1" applyAlignment="1">
      <alignment horizontal="center" vertical="center" wrapText="1"/>
    </xf>
    <xf numFmtId="0" fontId="11" fillId="0" borderId="0" xfId="1" applyFont="1" applyBorder="1" applyAlignment="1">
      <alignment horizontal="center"/>
    </xf>
    <xf numFmtId="0" fontId="31" fillId="0" borderId="3" xfId="0" applyFont="1" applyFill="1" applyBorder="1" applyAlignment="1">
      <alignment horizontal="center" vertical="center"/>
    </xf>
    <xf numFmtId="49" fontId="46" fillId="0" borderId="0" xfId="1" applyNumberFormat="1" applyFont="1" applyFill="1" applyBorder="1" applyAlignment="1">
      <alignment horizontal="center" vertical="center" wrapText="1"/>
    </xf>
    <xf numFmtId="49" fontId="8" fillId="0" borderId="0" xfId="1" applyNumberFormat="1" applyFont="1" applyFill="1" applyBorder="1" applyAlignment="1">
      <alignment horizontal="center" vertical="center" wrapText="1"/>
    </xf>
    <xf numFmtId="49" fontId="9" fillId="0" borderId="11" xfId="1" applyNumberFormat="1" applyFont="1" applyFill="1" applyBorder="1" applyAlignment="1">
      <alignment horizontal="center" vertical="center" wrapText="1"/>
    </xf>
    <xf numFmtId="49" fontId="9" fillId="0" borderId="1" xfId="1" applyNumberFormat="1" applyFont="1" applyFill="1" applyBorder="1" applyAlignment="1">
      <alignment horizontal="center" vertical="center" wrapText="1"/>
    </xf>
    <xf numFmtId="9" fontId="9" fillId="0" borderId="11" xfId="1" applyNumberFormat="1" applyFont="1" applyFill="1" applyBorder="1" applyAlignment="1">
      <alignment horizontal="center" vertical="center" wrapText="1"/>
    </xf>
    <xf numFmtId="9" fontId="9" fillId="0" borderId="1" xfId="1" applyNumberFormat="1" applyFont="1" applyFill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 vertical="center"/>
    </xf>
    <xf numFmtId="0" fontId="9" fillId="0" borderId="11" xfId="1" applyNumberFormat="1" applyFont="1" applyFill="1" applyBorder="1" applyAlignment="1">
      <alignment horizontal="center" vertical="center" wrapText="1"/>
    </xf>
    <xf numFmtId="0" fontId="9" fillId="0" borderId="1" xfId="1" applyNumberFormat="1" applyFont="1" applyFill="1" applyBorder="1" applyAlignment="1">
      <alignment horizontal="center" vertical="center" wrapText="1"/>
    </xf>
    <xf numFmtId="9" fontId="9" fillId="0" borderId="22" xfId="1" applyNumberFormat="1" applyFont="1" applyFill="1" applyBorder="1" applyAlignment="1">
      <alignment horizontal="center" vertical="center" wrapText="1"/>
    </xf>
    <xf numFmtId="9" fontId="9" fillId="0" borderId="2" xfId="1" applyNumberFormat="1" applyFont="1" applyFill="1" applyBorder="1" applyAlignment="1">
      <alignment horizontal="center" vertical="center" wrapText="1"/>
    </xf>
    <xf numFmtId="2" fontId="31" fillId="0" borderId="11" xfId="0" applyNumberFormat="1" applyFont="1" applyBorder="1" applyAlignment="1">
      <alignment horizontal="center" vertical="center" wrapText="1"/>
    </xf>
    <xf numFmtId="2" fontId="31" fillId="0" borderId="1" xfId="0" applyNumberFormat="1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/>
    </xf>
    <xf numFmtId="0" fontId="48" fillId="0" borderId="0" xfId="0" applyFont="1" applyAlignment="1">
      <alignment horizontal="center" wrapText="1"/>
    </xf>
    <xf numFmtId="0" fontId="31" fillId="0" borderId="0" xfId="0" applyFont="1" applyAlignment="1">
      <alignment horizontal="center" wrapText="1"/>
    </xf>
  </cellXfs>
  <cellStyles count="51">
    <cellStyle name="Обычный" xfId="0" builtinId="0"/>
    <cellStyle name="Обычный 2" xfId="1"/>
    <cellStyle name="Обычный 2 2" xfId="5"/>
    <cellStyle name="Обычный 2 2 2" xfId="6"/>
    <cellStyle name="Обычный 2 2 3" xfId="7"/>
    <cellStyle name="Обычный 2_№2 Расходы сводная бюджетная роспись 2012г." xfId="8"/>
    <cellStyle name="Обычный 3" xfId="2"/>
    <cellStyle name="Обычный 3 2" xfId="9"/>
    <cellStyle name="Обычный 3 3" xfId="18"/>
    <cellStyle name="Обычный 3 3 2" xfId="30"/>
    <cellStyle name="Обычный 3 4" xfId="19"/>
    <cellStyle name="Обычный 3 4 2" xfId="3"/>
    <cellStyle name="Обычный 3 4 2 2" xfId="17"/>
    <cellStyle name="Обычный 3 4 2 2 2" xfId="28"/>
    <cellStyle name="Обычный 3 4 2 2 2 2" xfId="34"/>
    <cellStyle name="Обычный 3 4 2 2 3" xfId="33"/>
    <cellStyle name="Обычный 3 4 2 3" xfId="24"/>
    <cellStyle name="Обычный 3 4 2 3 2" xfId="35"/>
    <cellStyle name="Обычный 3 4 2 4" xfId="32"/>
    <cellStyle name="Обычный 3 4 3" xfId="31"/>
    <cellStyle name="Обычный 3 5" xfId="20"/>
    <cellStyle name="Обычный 3 5 2" xfId="36"/>
    <cellStyle name="Обычный 3 6" xfId="21"/>
    <cellStyle name="Обычный 3 6 2" xfId="37"/>
    <cellStyle name="Обычный 3 7" xfId="29"/>
    <cellStyle name="Обычный 3 8" xfId="48"/>
    <cellStyle name="Обычный 3_№2 Расходы сводная бюджетная роспись 2012г." xfId="10"/>
    <cellStyle name="Обычный 4" xfId="11"/>
    <cellStyle name="Обычный 4 2" xfId="12"/>
    <cellStyle name="Обычный 4 2 2" xfId="15"/>
    <cellStyle name="Обычный 4 2 2 2" xfId="26"/>
    <cellStyle name="Обычный 4 2 2 2 2" xfId="40"/>
    <cellStyle name="Обычный 4 2 2 3" xfId="39"/>
    <cellStyle name="Обычный 4 2 3" xfId="38"/>
    <cellStyle name="Обычный 5" xfId="13"/>
    <cellStyle name="Обычный 5 2" xfId="41"/>
    <cellStyle name="Обычный 6" xfId="22"/>
    <cellStyle name="Обычный 6 2" xfId="42"/>
    <cellStyle name="Обычный 7" xfId="23"/>
    <cellStyle name="Обычный 7 2" xfId="4"/>
    <cellStyle name="Обычный 7 2 2" xfId="16"/>
    <cellStyle name="Обычный 7 2 2 2" xfId="27"/>
    <cellStyle name="Обычный 7 2 2 2 2" xfId="46"/>
    <cellStyle name="Обычный 7 2 2 3" xfId="45"/>
    <cellStyle name="Обычный 7 2 3" xfId="25"/>
    <cellStyle name="Обычный 7 2 3 2" xfId="47"/>
    <cellStyle name="Обычный 7 2 4" xfId="44"/>
    <cellStyle name="Обычный 7 3" xfId="43"/>
    <cellStyle name="Обычный_Доходы" xfId="49"/>
    <cellStyle name="Процентный 2" xfId="14"/>
    <cellStyle name="Финансовый" xfId="50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p01\&#1086;&#1073;&#1097;&#1080;&#1077;%20&#1076;&#1086;&#1082;&#1091;&#1084;&#1077;&#1085;&#1090;&#1099;\&#1052;&#1086;&#1080;%20&#1076;&#1086;&#1082;&#1091;&#1084;&#1077;&#1085;&#1090;&#1099;\&#1060;&#1086;&#1088;&#1084;&#1099;\&#1054;&#1090;&#1095;&#1077;&#1090;_&#1087;&#1086;_&#1092;&#1086;&#1088;&#1084;&#1077;_&#1073;&#1102;&#1076;&#1078;&#1077;&#1090;&#1072;_&#1052;&#1054;_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84;&#1072;&#1088;&#1075;&#1086;&#1096;&#1072;\2016%20&#1041;&#1070;&#1044;&#1046;&#1045;&#1058;%20&#1089;%20&#1087;&#1086;&#1087;&#1088;&#1072;&#1074;&#1082;&#1072;&#1084;&#1080;%20&#1050;&#1057;&#1055;\&#1042;&#1052;&#1054;%20&#1040;&#1076;&#1084;&#1080;&#1088;&#1072;&#1083;&#1090;&#1077;&#1081;&#1089;&#1082;&#1080;&#1081;%20&#1086;&#1082;&#1088;&#1091;&#1075;-&#1087;&#1088;&#1086;&#1077;&#1082;&#1090;-2016\&#1055;&#1088;&#1080;&#1083;&#1086;&#1078;&#1077;&#1085;&#1080;&#1103;%20&#8470;1-2%201%20&#1095;&#1090;&#1077;&#1085;&#1080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"/>
      <sheetName val="Отчет"/>
      <sheetName val="Форма 2005 (5)"/>
      <sheetName val="Форма 2005 (4)"/>
      <sheetName val="Форма 2005 (3)"/>
      <sheetName val="Форма 2005 (2)"/>
      <sheetName val="Форма 2005"/>
    </sheetNames>
    <sheetDataSet>
      <sheetData sheetId="0">
        <row r="1">
          <cell r="B1" t="str">
            <v>об исполнении местного бюджета муниципального образования КОЛОМНА</v>
          </cell>
          <cell r="C1" t="str">
            <v>Адмиралтейского административного района Санкт-Петербурга</v>
          </cell>
          <cell r="D1" t="str">
            <v>на 01 апреля  2004 года</v>
          </cell>
        </row>
        <row r="2">
          <cell r="B2" t="str">
            <v>об исполнении местного бюджета муниципального образования СЕННОЙ ОКРУГ</v>
          </cell>
          <cell r="C2" t="str">
            <v>Василеостровского административного района Санкт-Петербурга</v>
          </cell>
          <cell r="D2" t="str">
            <v>на 01 ______________ 200 __г.</v>
          </cell>
        </row>
        <row r="3">
          <cell r="B3" t="str">
            <v>об исполнении местного бюджета муниципального образования АДМИРАЛТЕЙСКИЙ ОКРУГ</v>
          </cell>
          <cell r="C3" t="str">
            <v>Выборгского административного района Санкт-Петербурга</v>
          </cell>
          <cell r="D3" t="str">
            <v>на 01 июля  2004 года</v>
          </cell>
        </row>
        <row r="4">
          <cell r="B4" t="str">
            <v>об исполнении местного бюджета муниципального образования МО № 4</v>
          </cell>
          <cell r="C4" t="str">
            <v>Калининского административного района Санкт-Петербурга</v>
          </cell>
          <cell r="D4" t="str">
            <v>на 01 октября 2004 года</v>
          </cell>
        </row>
        <row r="5">
          <cell r="B5" t="str">
            <v>об исполнении местного бюджета муниципального образования ИЗМАЙЛОВСКОЕ</v>
          </cell>
          <cell r="C5" t="str">
            <v>Кировского административного района Санкт-Петербурга</v>
          </cell>
          <cell r="D5" t="str">
            <v>на 01 января  2005 года</v>
          </cell>
        </row>
        <row r="6">
          <cell r="B6" t="str">
            <v>об исполнении местного бюджета муниципального образования МО № 6</v>
          </cell>
          <cell r="C6" t="str">
            <v>Красногвардейского административного района Санкт-Петербурга</v>
          </cell>
        </row>
        <row r="7">
          <cell r="B7" t="str">
            <v>об исполнении местного бюджета муниципального образования МО № 7</v>
          </cell>
          <cell r="C7" t="str">
            <v>Красносельского административного района Санкт-Петербурга</v>
          </cell>
        </row>
        <row r="8">
          <cell r="B8" t="str">
            <v>об исполнении местного бюджета муниципального образования МО № 8</v>
          </cell>
          <cell r="C8" t="str">
            <v>Московского административного района Санкт-Петербурга</v>
          </cell>
        </row>
        <row r="9">
          <cell r="B9" t="str">
            <v>об исполнении местного бюджета муниципального образования МО № 9</v>
          </cell>
          <cell r="C9" t="str">
            <v>Невского административного района Санкт-Петербурга</v>
          </cell>
        </row>
        <row r="10">
          <cell r="B10" t="str">
            <v>об исполнении местного бюджета муниципального образования ОКРУГ МОРСКОЙ</v>
          </cell>
          <cell r="C10" t="str">
            <v>Петроградского административного района Санкт-Петербурга</v>
          </cell>
        </row>
        <row r="11">
          <cell r="B11" t="str">
            <v>об исполнении местного бюджета муниципального образования МО № 11</v>
          </cell>
          <cell r="C11" t="str">
            <v>Приморского административного района Санкт-Петербурга</v>
          </cell>
        </row>
        <row r="12">
          <cell r="B12" t="str">
            <v>об исполнении местного бюджета муниципального образования САМПСОНИЕВСКОЕ</v>
          </cell>
          <cell r="C12" t="str">
            <v>Фрунзенского административного района Санкт-Петербурга</v>
          </cell>
        </row>
        <row r="13">
          <cell r="B13" t="str">
            <v>об исполнении местного бюджета муниципального образования СВЕТЛАНОВСКОЕ</v>
          </cell>
          <cell r="C13" t="str">
            <v>Центрального административного района Санкт-Петербурга</v>
          </cell>
        </row>
        <row r="14">
          <cell r="B14" t="str">
            <v>об исполнении местного бюджета муниципального образования СОСНОВСКОЕ</v>
          </cell>
          <cell r="C14" t="str">
            <v>Пушкинского и Павловского административного района Санкт-Петербурга</v>
          </cell>
        </row>
        <row r="15">
          <cell r="B15" t="str">
            <v>об исполнении местного бюджета муниципального образования МО № 15</v>
          </cell>
          <cell r="C15" t="str">
            <v>Кронштадтского административного района Санкт-Петербурга</v>
          </cell>
        </row>
        <row r="16">
          <cell r="B16" t="str">
            <v>об исполнении местного бюджета муниципального образования ПАРНАС</v>
          </cell>
          <cell r="C16" t="str">
            <v>Ломоносов административного района Санкт-Петербурга</v>
          </cell>
        </row>
        <row r="17">
          <cell r="B17" t="str">
            <v>об исполнении местного бюджета муниципального образования ШУВАЛОВО-ОЗЕРКИ</v>
          </cell>
          <cell r="C17" t="str">
            <v>Петродворцового административного района Санкт-Петербурга</v>
          </cell>
        </row>
        <row r="18">
          <cell r="B18" t="str">
            <v>об исполнении местного бюджета муниципального образования ПОСЕЛОК ЛЕВАШОВО</v>
          </cell>
          <cell r="C18" t="str">
            <v>Колпинского административного района Санкт-Петербурга</v>
          </cell>
        </row>
        <row r="19">
          <cell r="B19" t="str">
            <v>об исполнении местного бюджета муниципального образования ПОСЕЛОК ПАРГОЛОВО</v>
          </cell>
          <cell r="C19" t="str">
            <v>Курортного административного района Санкт-Петербурга</v>
          </cell>
        </row>
        <row r="20">
          <cell r="B20" t="str">
            <v>об исполнении местного бюджета муниципального образования ГРАЖДАНКА</v>
          </cell>
        </row>
        <row r="21">
          <cell r="B21" t="str">
            <v>об исполнении местного бюджета муниципального образования АКАДЕМИЧЕСКОЕ</v>
          </cell>
        </row>
        <row r="22">
          <cell r="B22" t="str">
            <v>об исполнении местного бюджета муниципального образования ФИНЛЯНДСКИЙ ОКРУГ</v>
          </cell>
        </row>
        <row r="23">
          <cell r="B23" t="str">
            <v>об исполнении местного бюджета муниципального образования МО № 21</v>
          </cell>
        </row>
        <row r="24">
          <cell r="B24" t="str">
            <v>об исполнении местного бюджета муниципального образования ПИСКАРЕВКА</v>
          </cell>
        </row>
        <row r="25">
          <cell r="B25" t="str">
            <v>об исполнении местного бюджета муниципального образования СЕВЕРНЫЙ</v>
          </cell>
        </row>
        <row r="26">
          <cell r="B26" t="str">
            <v>об исполнении местного бюджета муниципального образования ПРОМЕТЕЙ</v>
          </cell>
        </row>
        <row r="27">
          <cell r="B27" t="str">
            <v>об исполнении местного бюджета муниципального образования МО № 25</v>
          </cell>
        </row>
        <row r="28">
          <cell r="B28" t="str">
            <v>об исполнении местного бюджета муниципального образования УЛЬЯНКА</v>
          </cell>
        </row>
        <row r="29">
          <cell r="B29" t="str">
            <v>об исполнении местного бюджета муниципального образования ДАЧНОЕ</v>
          </cell>
        </row>
        <row r="30">
          <cell r="B30" t="str">
            <v>об исполнении местного бюджета муниципального образования АВТОВО</v>
          </cell>
        </row>
        <row r="31">
          <cell r="B31" t="str">
            <v>об исполнении местного бюджета муниципального образования НАРВСКИЙ ОКРУГ</v>
          </cell>
        </row>
        <row r="32">
          <cell r="B32" t="str">
            <v>об исполнении местного бюджета муниципального образования КРАСНЕНЬКАЯ РЕЧКА</v>
          </cell>
        </row>
        <row r="33">
          <cell r="B33" t="str">
            <v>об исполнении местного бюджета муниципального образования МОРСКИЕ ВОРОТА</v>
          </cell>
        </row>
        <row r="34">
          <cell r="B34" t="str">
            <v>об исполнении местного бюджета муниципального образования ПОЛЮСТРОВО</v>
          </cell>
        </row>
        <row r="35">
          <cell r="B35" t="str">
            <v>об исполнении местного бюджета муниципального образования МО № 33</v>
          </cell>
        </row>
        <row r="36">
          <cell r="B36" t="str">
            <v>об исполнении местного бюджета муниципального образования МО № 34</v>
          </cell>
        </row>
        <row r="37">
          <cell r="B37" t="str">
            <v>об исполнении местного бюджета муниципального образования МО № 35</v>
          </cell>
        </row>
        <row r="38">
          <cell r="B38" t="str">
            <v>об исполнении местного бюджета муниципального образования РЖЕВКА</v>
          </cell>
        </row>
        <row r="39">
          <cell r="B39" t="str">
            <v>об исполнении местного бюджета муниципального образования МО № 37</v>
          </cell>
        </row>
        <row r="40">
          <cell r="B40" t="str">
            <v>об исполнении местного бюджета муниципального образования МО № 38</v>
          </cell>
        </row>
        <row r="41">
          <cell r="B41" t="str">
            <v>об исполнении местного бюджета муниципального образования СОСНОВАЯ ПОЛЯНА</v>
          </cell>
        </row>
        <row r="42">
          <cell r="B42" t="str">
            <v>об исполнении местного бюджета муниципального образования УРИЦК</v>
          </cell>
        </row>
        <row r="43">
          <cell r="B43" t="str">
            <v>об исполнении местного бюджета муниципального образования МО № 41</v>
          </cell>
        </row>
        <row r="44">
          <cell r="B44" t="str">
            <v>об исполнении местного бюджета муниципального образования МО № 42</v>
          </cell>
        </row>
        <row r="45">
          <cell r="B45" t="str">
            <v>об исполнении местного бюджета муниципального образования ГОРОД КРАСНОЕ СЕЛО</v>
          </cell>
        </row>
        <row r="46">
          <cell r="B46" t="str">
            <v>об исполнении местного бюджета муниципального образования МОСКОВСКАЯ ЗАСТАВА</v>
          </cell>
        </row>
        <row r="47">
          <cell r="B47" t="str">
            <v>об исполнении местного бюджета муниципального образования ГАГАРИНСКОЕ</v>
          </cell>
        </row>
        <row r="48">
          <cell r="B48" t="str">
            <v>об исполнении местного бюджета муниципального образования НОВОИЗМАЙЛОВСКОЕ</v>
          </cell>
        </row>
        <row r="49">
          <cell r="B49" t="str">
            <v>об исполнении местного бюджета муниципального образования МО № 47</v>
          </cell>
        </row>
        <row r="50">
          <cell r="B50" t="str">
            <v>об исполнении местного бюджета муниципального образования ЗВЕЗДНОЕ</v>
          </cell>
        </row>
        <row r="51">
          <cell r="B51" t="str">
            <v>об исполнении местного бюджета муниципального образования НЕВСКАЯ ЗАСТАВА</v>
          </cell>
        </row>
        <row r="52">
          <cell r="B52" t="str">
            <v>об исполнении местного бюджета муниципального образования МО № 50</v>
          </cell>
        </row>
        <row r="53">
          <cell r="B53" t="str">
            <v>об исполнении местного бюджета муниципального образования ОБУХОВСКИЙ</v>
          </cell>
        </row>
        <row r="54">
          <cell r="B54" t="str">
            <v>об исполнении местного бюджета муниципального образования РЫБАЦКОЕ</v>
          </cell>
        </row>
        <row r="55">
          <cell r="B55" t="str">
            <v>об исполнении местного бюджета муниципального образования МО № 53</v>
          </cell>
        </row>
        <row r="56">
          <cell r="B56" t="str">
            <v>об исполнении местного бюджета муниципального образования МО № 54</v>
          </cell>
        </row>
        <row r="57">
          <cell r="B57" t="str">
            <v>об исполнении местного бюджета муниципального образования НЕВСКИЙ ОКРУГ</v>
          </cell>
        </row>
        <row r="58">
          <cell r="B58" t="str">
            <v>об исполнении местного бюджета муниципального образования ОККЕРВИЛЬ</v>
          </cell>
        </row>
        <row r="59">
          <cell r="B59" t="str">
            <v>об исполнении местного бюджета муниципального образования МО № 57</v>
          </cell>
        </row>
        <row r="60">
          <cell r="B60" t="str">
            <v>об исполнении местного бюджета муниципального образования МО № 58</v>
          </cell>
        </row>
        <row r="61">
          <cell r="B61" t="str">
            <v>об исполнении местного бюджета муниципального образования КРОНВЕРКСКОЕ</v>
          </cell>
        </row>
        <row r="62">
          <cell r="B62" t="str">
            <v>об исполнении местного бюджета муниципального образования МО № 60</v>
          </cell>
        </row>
        <row r="63">
          <cell r="B63" t="str">
            <v>об исполнении местного бюджета муниципального образования АПТЕКАРСКИЙ ОСТРОВ</v>
          </cell>
        </row>
        <row r="64">
          <cell r="B64" t="str">
            <v>об исполнении местного бюджета муниципального образования ОКРУГ ПЕТРОВСКИЙ</v>
          </cell>
        </row>
        <row r="65">
          <cell r="B65" t="str">
            <v>об исполнении местного бюджета муниципального образования ЧКАЛОВСКОЕ</v>
          </cell>
        </row>
        <row r="66">
          <cell r="B66" t="str">
            <v>об исполнении местного бюджета муниципального образования ЛАХТА-ОЛЬГИНО</v>
          </cell>
        </row>
        <row r="67">
          <cell r="B67" t="str">
            <v>об исполнении местного бюджета муниципального образования МО № 65</v>
          </cell>
        </row>
        <row r="68">
          <cell r="B68" t="str">
            <v>об исполнении местного бюджета муниципального образования МО № 66</v>
          </cell>
        </row>
        <row r="69">
          <cell r="B69" t="str">
            <v>об исполнении местного бюджета муниципального образования КОМЕНДАНТСКИЙ АЭРОДРОМ</v>
          </cell>
        </row>
        <row r="70">
          <cell r="B70" t="str">
            <v>об исполнении местного бюджета муниципального образования МО № 68</v>
          </cell>
        </row>
        <row r="71">
          <cell r="B71" t="str">
            <v>об исполнении местного бюджета муниципального образования ЮНТОЛОВО</v>
          </cell>
        </row>
        <row r="72">
          <cell r="B72" t="str">
            <v>об исполнении местного бюджета муниципального образования МО № 70</v>
          </cell>
        </row>
        <row r="73">
          <cell r="B73" t="str">
            <v>об исполнении местного бюджета муниципального образования ПОСЕЛОК ЛИСИЙ НОС</v>
          </cell>
        </row>
        <row r="74">
          <cell r="B74" t="str">
            <v>об исполнении местного бюджета муниципального образования МО № 71</v>
          </cell>
        </row>
        <row r="75">
          <cell r="B75" t="str">
            <v>об исполнении местного бюджета муниципального образования МО № 72</v>
          </cell>
        </row>
        <row r="76">
          <cell r="B76" t="str">
            <v>об исполнении местного бюджета муниципального образования КУПЧИНО</v>
          </cell>
        </row>
        <row r="77">
          <cell r="B77" t="str">
            <v>об исполнении местного бюджета муниципального образования МО № 74</v>
          </cell>
        </row>
        <row r="78">
          <cell r="B78" t="str">
            <v>об исполнении местного бюджета муниципального образования МО № 75</v>
          </cell>
        </row>
        <row r="79">
          <cell r="B79" t="str">
            <v>об исполнении местного бюджета муниципального образования МО № 76</v>
          </cell>
        </row>
        <row r="80">
          <cell r="B80" t="str">
            <v>об исполнении местного бюджета муниципального образования ДВОРЦОВЫЙ ОКРУГ</v>
          </cell>
        </row>
        <row r="81">
          <cell r="B81" t="str">
            <v>об исполнении местного бюджета муниципального образования МО № 78</v>
          </cell>
        </row>
        <row r="82">
          <cell r="B82" t="str">
            <v>об исполнении местного бюджета муниципального образования ЛИТЕЙНЫЙ ОКРУГ</v>
          </cell>
        </row>
        <row r="83">
          <cell r="B83" t="str">
            <v>об исполнении местного бюджета муниципального образования СМОЛЬНИНСКОЕ</v>
          </cell>
        </row>
        <row r="84">
          <cell r="B84" t="str">
            <v>об исполнении местного бюджета муниципального образования ЛИГОВКА-ЯМСКАЯ</v>
          </cell>
        </row>
        <row r="85">
          <cell r="B85" t="str">
            <v>об исполнении местного бюджета муниципального образования ВЛАДИМИРСКИЙ ОКРУГ</v>
          </cell>
        </row>
        <row r="86">
          <cell r="B86" t="str">
            <v>об исполнении местного бюджета муниципального образования ГОРОД СЕСТРОРЕЦК</v>
          </cell>
        </row>
        <row r="87">
          <cell r="B87" t="str">
            <v>об исполнении местного бюджета муниципального образования ГОРОД ЗЕЛЕНОГОРСК</v>
          </cell>
        </row>
        <row r="88">
          <cell r="B88" t="str">
            <v>об исполнении местного бюджета муниципального образования ПОСЕЛОК ПЕСОЧНЫЙ</v>
          </cell>
        </row>
        <row r="89">
          <cell r="B89" t="str">
            <v>об исполнении местного бюджета муниципального образования ПОСЕЛОК БЕЛООСТРОВ</v>
          </cell>
        </row>
        <row r="90">
          <cell r="B90" t="str">
            <v>об исполнении местного бюджета муниципального образования ПОСЕЛОККОМАРОВО</v>
          </cell>
        </row>
        <row r="91">
          <cell r="B91" t="str">
            <v>об исполнении местного бюджета муниципального образования ПОСЕЛОК МОЛОДЕЖНОЕ</v>
          </cell>
        </row>
        <row r="92">
          <cell r="B92" t="str">
            <v>об исполнении местного бюджета муниципального образования ПОСЕЛОК РЕПИНО</v>
          </cell>
        </row>
        <row r="93">
          <cell r="B93" t="str">
            <v>об исполнении местного бюджета муниципального образования ПОСЕЛОК СЕРОВО</v>
          </cell>
        </row>
        <row r="94">
          <cell r="B94" t="str">
            <v>об исполнении местного бюджета муниципального образования ПОСЕЛОК СМОЛЯЧКОВО</v>
          </cell>
        </row>
        <row r="95">
          <cell r="B95" t="str">
            <v>об исполнении местного бюджета муниципального образования ПОСЕЛОК СОЛНЕЧНОЕ</v>
          </cell>
        </row>
        <row r="96">
          <cell r="B96" t="str">
            <v>об исполнении местного бюджета муниципального образования ПОСЕЛОК УШКОВО</v>
          </cell>
        </row>
        <row r="97">
          <cell r="B97" t="str">
            <v>об исполнении местного бюджета муниципального образования ГОРОД КОЛПИНО</v>
          </cell>
        </row>
        <row r="98">
          <cell r="B98" t="str">
            <v>об исполнении местного бюджета муниципального образования ПОСЕЛОК МЕТАЛЛОСТРОЙ</v>
          </cell>
        </row>
        <row r="99">
          <cell r="B99" t="str">
            <v>об исполнении местного бюджета муниципального образования ПОСЕЛОК ПЕТРО-СЛАВЯНКА</v>
          </cell>
        </row>
        <row r="100">
          <cell r="B100" t="str">
            <v>об исполнении местного бюджета муниципального образования ПОСЕЛОК ПОНТОННЫЙ</v>
          </cell>
        </row>
        <row r="101">
          <cell r="B101" t="str">
            <v>об исполнении местного бюджета муниципального образования ПОСЕЛОК УСТЬ-ИЖОРА</v>
          </cell>
        </row>
        <row r="102">
          <cell r="B102" t="str">
            <v>об исполнении местного бюджета муниципального образования ПОСЕЛОК САПЕРНЫЙ</v>
          </cell>
        </row>
        <row r="103">
          <cell r="B103" t="str">
            <v>об исполнении местного бюджета муниципального образования ГОРОД КРОНШТАДТ</v>
          </cell>
        </row>
        <row r="104">
          <cell r="B104" t="str">
            <v>об исполнении местного бюджета муниципального образования ГОРОД ЛОМОНОСОВ</v>
          </cell>
        </row>
        <row r="105">
          <cell r="B105" t="str">
            <v>об исполнении местного бюджета муниципального образования ГОРОД ПЕТЕРГОФ</v>
          </cell>
        </row>
        <row r="106">
          <cell r="B106" t="str">
            <v>об исполнении местного бюджета муниципального образования ПОСЕЛОК СТРЕЛЬНА</v>
          </cell>
        </row>
        <row r="107">
          <cell r="B107" t="str">
            <v>об исполнении местного бюджета муниципального образования ГОРОД ПУШКИН</v>
          </cell>
        </row>
        <row r="108">
          <cell r="B108" t="str">
            <v>об исполнении местного бюджета муниципального образования ГОРОД ПАВЛОВСК</v>
          </cell>
        </row>
        <row r="109">
          <cell r="B109" t="str">
            <v>об исполнении местного бюджета муниципального образования ПОСЕЛОК ШУШАРЫ</v>
          </cell>
        </row>
        <row r="110">
          <cell r="B110" t="str">
            <v>об исполнении местного бюджета муниципального образования ПОСЕЛОК АЛЕКСАНДРОВСКАЯ</v>
          </cell>
        </row>
        <row r="111">
          <cell r="B111" t="str">
            <v>об исполнении местного бюджета муниципального образования ПОСЕЛОК ТЯРЛЕВО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оды"/>
      <sheetName val="ВСР"/>
      <sheetName val="Прилож.3 Распр.по ассигн."/>
    </sheetNames>
    <sheetDataSet>
      <sheetData sheetId="0" refreshError="1"/>
      <sheetData sheetId="1" refreshError="1">
        <row r="15">
          <cell r="E15" t="str">
            <v>00205 00030</v>
          </cell>
        </row>
        <row r="17">
          <cell r="E17" t="str">
            <v>00206 00030</v>
          </cell>
        </row>
        <row r="22">
          <cell r="E22" t="str">
            <v>00200 G0850</v>
          </cell>
        </row>
        <row r="26">
          <cell r="E26" t="str">
            <v>07001 00060</v>
          </cell>
        </row>
        <row r="32">
          <cell r="E32" t="str">
            <v>09201 00460</v>
          </cell>
        </row>
        <row r="38">
          <cell r="E38" t="str">
            <v>79508 00520</v>
          </cell>
        </row>
        <row r="43">
          <cell r="E43" t="str">
            <v>21900 00090</v>
          </cell>
        </row>
        <row r="51">
          <cell r="E51" t="str">
            <v>34500 00100</v>
          </cell>
        </row>
        <row r="56">
          <cell r="E56" t="str">
            <v>60001 00132</v>
          </cell>
        </row>
        <row r="57">
          <cell r="E57" t="str">
            <v>60001 00132</v>
          </cell>
        </row>
        <row r="63">
          <cell r="E63" t="str">
            <v>60003 00151</v>
          </cell>
        </row>
        <row r="79">
          <cell r="E79" t="str">
            <v>41000 00170</v>
          </cell>
        </row>
        <row r="87">
          <cell r="E87" t="str">
            <v>79505 00190</v>
          </cell>
        </row>
        <row r="90">
          <cell r="E90" t="str">
            <v>79506 00510</v>
          </cell>
        </row>
        <row r="91">
          <cell r="E91" t="str">
            <v>79506 00510</v>
          </cell>
        </row>
        <row r="92">
          <cell r="E92" t="str">
            <v>79512 00490</v>
          </cell>
        </row>
        <row r="94">
          <cell r="E94" t="str">
            <v>79514 00530</v>
          </cell>
        </row>
        <row r="98">
          <cell r="E98" t="str">
            <v>45011 00200</v>
          </cell>
        </row>
        <row r="101">
          <cell r="E101" t="str">
            <v>45009 00560</v>
          </cell>
        </row>
        <row r="105">
          <cell r="E105" t="str">
            <v>50581 00230</v>
          </cell>
        </row>
        <row r="108">
          <cell r="E108" t="str">
            <v>51100 G0860</v>
          </cell>
        </row>
        <row r="110">
          <cell r="E110" t="str">
            <v>51100 G0870</v>
          </cell>
        </row>
        <row r="115">
          <cell r="E115" t="str">
            <v>00201 00010</v>
          </cell>
        </row>
        <row r="116">
          <cell r="E116" t="str">
            <v>00201 00010</v>
          </cell>
        </row>
        <row r="118">
          <cell r="E118" t="str">
            <v>00203 00021</v>
          </cell>
        </row>
        <row r="120">
          <cell r="E120" t="str">
            <v>00203 00022</v>
          </cell>
        </row>
        <row r="123">
          <cell r="E123" t="str">
            <v>00204 00020</v>
          </cell>
        </row>
        <row r="127">
          <cell r="E127" t="str">
            <v>09205 00440</v>
          </cell>
        </row>
        <row r="131">
          <cell r="E131" t="str">
            <v>45701 00250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1"/>
  <sheetViews>
    <sheetView view="pageBreakPreview" topLeftCell="B52" zoomScale="70" zoomScaleNormal="70" zoomScaleSheetLayoutView="70" workbookViewId="0">
      <selection activeCell="A5" sqref="A5:G5"/>
    </sheetView>
  </sheetViews>
  <sheetFormatPr defaultRowHeight="15" x14ac:dyDescent="0.25"/>
  <cols>
    <col min="1" max="1" width="14.140625" customWidth="1"/>
    <col min="2" max="2" width="22.85546875" customWidth="1"/>
    <col min="3" max="3" width="30.140625" customWidth="1"/>
    <col min="4" max="4" width="65.85546875" customWidth="1"/>
    <col min="5" max="5" width="15.85546875" style="42" customWidth="1"/>
    <col min="6" max="6" width="15.7109375" style="10" customWidth="1"/>
    <col min="7" max="7" width="14.5703125" style="10" customWidth="1"/>
    <col min="8" max="8" width="15.85546875" customWidth="1"/>
    <col min="9" max="9" width="16.85546875" customWidth="1"/>
    <col min="10" max="11" width="9.140625" customWidth="1"/>
    <col min="12" max="12" width="16.28515625" customWidth="1"/>
  </cols>
  <sheetData>
    <row r="1" spans="1:13" ht="19.5" x14ac:dyDescent="0.35">
      <c r="A1" s="40"/>
      <c r="B1" s="57"/>
      <c r="C1" s="40"/>
      <c r="F1" s="301" t="s">
        <v>453</v>
      </c>
      <c r="G1" s="301"/>
    </row>
    <row r="2" spans="1:13" ht="18.75" x14ac:dyDescent="0.3">
      <c r="A2" s="1"/>
      <c r="B2" s="1"/>
      <c r="C2" s="1"/>
      <c r="E2" s="301" t="s">
        <v>17</v>
      </c>
      <c r="F2" s="301"/>
      <c r="G2" s="301"/>
    </row>
    <row r="3" spans="1:13" ht="19.5" x14ac:dyDescent="0.3">
      <c r="A3" s="95"/>
      <c r="B3" s="1"/>
      <c r="C3" s="1"/>
      <c r="E3" s="304" t="s">
        <v>16</v>
      </c>
      <c r="F3" s="304"/>
      <c r="G3" s="304"/>
    </row>
    <row r="4" spans="1:13" ht="18.75" x14ac:dyDescent="0.3">
      <c r="A4" s="1"/>
      <c r="B4" s="1"/>
      <c r="C4" s="1"/>
      <c r="E4" s="305" t="s">
        <v>591</v>
      </c>
      <c r="F4" s="305"/>
      <c r="G4" s="305"/>
    </row>
    <row r="5" spans="1:13" ht="15.75" x14ac:dyDescent="0.25">
      <c r="A5" s="306" t="s">
        <v>531</v>
      </c>
      <c r="B5" s="307"/>
      <c r="C5" s="307"/>
      <c r="D5" s="307"/>
      <c r="E5" s="307"/>
      <c r="F5" s="307"/>
      <c r="G5" s="307"/>
    </row>
    <row r="6" spans="1:13" ht="16.5" thickBot="1" x14ac:dyDescent="0.3">
      <c r="A6" s="1"/>
      <c r="B6" s="1"/>
      <c r="C6" s="314"/>
      <c r="D6" s="314"/>
      <c r="E6" s="58"/>
      <c r="F6" s="31"/>
      <c r="G6" s="98" t="s">
        <v>387</v>
      </c>
    </row>
    <row r="7" spans="1:13" ht="22.5" customHeight="1" x14ac:dyDescent="0.25">
      <c r="A7" s="308" t="s">
        <v>311</v>
      </c>
      <c r="B7" s="310" t="s">
        <v>384</v>
      </c>
      <c r="C7" s="310" t="s">
        <v>383</v>
      </c>
      <c r="D7" s="310" t="s">
        <v>312</v>
      </c>
      <c r="E7" s="312" t="s">
        <v>386</v>
      </c>
      <c r="F7" s="302" t="s">
        <v>385</v>
      </c>
      <c r="G7" s="303"/>
      <c r="H7" s="3"/>
      <c r="I7" s="3"/>
      <c r="J7" s="3"/>
      <c r="K7" s="3"/>
      <c r="L7" s="3"/>
      <c r="M7" s="3"/>
    </row>
    <row r="8" spans="1:13" ht="18.75" customHeight="1" x14ac:dyDescent="0.3">
      <c r="A8" s="309"/>
      <c r="B8" s="311"/>
      <c r="C8" s="311"/>
      <c r="D8" s="311"/>
      <c r="E8" s="313"/>
      <c r="F8" s="99" t="s">
        <v>389</v>
      </c>
      <c r="G8" s="104" t="s">
        <v>530</v>
      </c>
      <c r="H8" s="3"/>
      <c r="I8" s="3"/>
      <c r="J8" s="3"/>
      <c r="K8" s="3"/>
      <c r="L8" s="3"/>
      <c r="M8" s="3"/>
    </row>
    <row r="9" spans="1:13" ht="18.75" x14ac:dyDescent="0.3">
      <c r="A9" s="105">
        <v>1</v>
      </c>
      <c r="B9" s="100">
        <v>2</v>
      </c>
      <c r="C9" s="100">
        <v>3</v>
      </c>
      <c r="D9" s="101">
        <v>4</v>
      </c>
      <c r="E9" s="102">
        <v>5</v>
      </c>
      <c r="F9" s="103">
        <v>6</v>
      </c>
      <c r="G9" s="106">
        <v>7</v>
      </c>
      <c r="H9" s="3"/>
      <c r="I9" s="3"/>
      <c r="J9" s="3"/>
      <c r="K9" s="3"/>
      <c r="L9" s="3"/>
      <c r="M9" s="3"/>
    </row>
    <row r="10" spans="1:13" ht="22.5" customHeight="1" x14ac:dyDescent="0.25">
      <c r="A10" s="107" t="s">
        <v>313</v>
      </c>
      <c r="B10" s="59" t="s">
        <v>314</v>
      </c>
      <c r="C10" s="60" t="s">
        <v>315</v>
      </c>
      <c r="D10" s="61" t="s">
        <v>316</v>
      </c>
      <c r="E10" s="62">
        <f>E11+E28+E25</f>
        <v>39982.400000000001</v>
      </c>
      <c r="F10" s="62">
        <f t="shared" ref="F10:G10" si="0">F11+F28+F25</f>
        <v>62481.405999999995</v>
      </c>
      <c r="G10" s="62">
        <f t="shared" si="0"/>
        <v>68635.956919999997</v>
      </c>
      <c r="H10" s="63"/>
      <c r="I10" s="63"/>
      <c r="J10" s="3"/>
      <c r="K10" s="3"/>
      <c r="L10" s="3"/>
      <c r="M10" s="3"/>
    </row>
    <row r="11" spans="1:13" ht="23.25" customHeight="1" x14ac:dyDescent="0.25">
      <c r="A11" s="109" t="s">
        <v>0</v>
      </c>
      <c r="B11" s="64" t="s">
        <v>314</v>
      </c>
      <c r="C11" s="60" t="s">
        <v>317</v>
      </c>
      <c r="D11" s="61" t="s">
        <v>318</v>
      </c>
      <c r="E11" s="65">
        <f>E12+E20+E23</f>
        <v>37346.400000000001</v>
      </c>
      <c r="F11" s="65">
        <f t="shared" ref="F11:G11" si="1">F12+F20+F23</f>
        <v>57636.705999999998</v>
      </c>
      <c r="G11" s="65">
        <f t="shared" si="1"/>
        <v>64779.056920000003</v>
      </c>
      <c r="H11" s="3"/>
      <c r="I11" s="3"/>
      <c r="J11" s="3"/>
      <c r="K11" s="3"/>
      <c r="L11" s="3"/>
      <c r="M11" s="3"/>
    </row>
    <row r="12" spans="1:13" ht="37.5" x14ac:dyDescent="0.25">
      <c r="A12" s="109" t="s">
        <v>1</v>
      </c>
      <c r="B12" s="64" t="s">
        <v>319</v>
      </c>
      <c r="C12" s="60" t="s">
        <v>320</v>
      </c>
      <c r="D12" s="61" t="s">
        <v>321</v>
      </c>
      <c r="E12" s="65">
        <f>E13+E16+E19</f>
        <v>24694.9</v>
      </c>
      <c r="F12" s="65">
        <f t="shared" ref="F12:G12" si="2">F13+F16+F19</f>
        <v>53306.015999999996</v>
      </c>
      <c r="G12" s="65">
        <f t="shared" si="2"/>
        <v>59149.159919999998</v>
      </c>
      <c r="H12" s="66"/>
      <c r="I12" s="66"/>
      <c r="J12" s="3"/>
      <c r="K12" s="3"/>
      <c r="L12" s="66"/>
      <c r="M12" s="3"/>
    </row>
    <row r="13" spans="1:13" ht="56.25" x14ac:dyDescent="0.25">
      <c r="A13" s="109" t="s">
        <v>2</v>
      </c>
      <c r="B13" s="64" t="s">
        <v>319</v>
      </c>
      <c r="C13" s="60" t="s">
        <v>322</v>
      </c>
      <c r="D13" s="61" t="s">
        <v>323</v>
      </c>
      <c r="E13" s="65">
        <f>E14+E15</f>
        <v>15515.1</v>
      </c>
      <c r="F13" s="65">
        <f t="shared" ref="F13:G13" si="3">F14+F15</f>
        <v>35320.942000000003</v>
      </c>
      <c r="G13" s="65">
        <f t="shared" si="3"/>
        <v>39181.077040000004</v>
      </c>
      <c r="H13" s="66"/>
      <c r="I13" s="66"/>
      <c r="J13" s="3"/>
      <c r="K13" s="3"/>
      <c r="L13" s="67"/>
      <c r="M13" s="3"/>
    </row>
    <row r="14" spans="1:13" ht="38.25" customHeight="1" x14ac:dyDescent="0.25">
      <c r="A14" s="110" t="s">
        <v>324</v>
      </c>
      <c r="B14" s="68" t="s">
        <v>319</v>
      </c>
      <c r="C14" s="69" t="s">
        <v>325</v>
      </c>
      <c r="D14" s="70" t="s">
        <v>323</v>
      </c>
      <c r="E14" s="247">
        <f>21669.8-6534.9+379.2</f>
        <v>15514.1</v>
      </c>
      <c r="F14" s="247">
        <f>E14*1.13+8779.9+9024.8-17.1</f>
        <v>35318.533000000003</v>
      </c>
      <c r="G14" s="248">
        <f>F14*1.12+8779.9-8779.4-378.9</f>
        <v>39178.356960000005</v>
      </c>
      <c r="H14" s="3"/>
      <c r="I14" s="71"/>
      <c r="J14" s="3"/>
      <c r="K14" s="3"/>
      <c r="L14" s="72"/>
      <c r="M14" s="73"/>
    </row>
    <row r="15" spans="1:13" ht="54.75" customHeight="1" x14ac:dyDescent="0.25">
      <c r="A15" s="110" t="s">
        <v>326</v>
      </c>
      <c r="B15" s="68" t="s">
        <v>319</v>
      </c>
      <c r="C15" s="69" t="s">
        <v>327</v>
      </c>
      <c r="D15" s="70" t="s">
        <v>328</v>
      </c>
      <c r="E15" s="249">
        <v>1</v>
      </c>
      <c r="F15" s="247">
        <f>E15*1.13+0.279+1</f>
        <v>2.4089999999999998</v>
      </c>
      <c r="G15" s="248">
        <f>F15*1.12+0.022</f>
        <v>2.7200799999999998</v>
      </c>
      <c r="H15" s="3"/>
      <c r="I15" s="71"/>
      <c r="J15" s="3"/>
      <c r="K15" s="3"/>
      <c r="L15" s="71"/>
      <c r="M15" s="3"/>
    </row>
    <row r="16" spans="1:13" ht="55.5" customHeight="1" x14ac:dyDescent="0.25">
      <c r="A16" s="109" t="s">
        <v>329</v>
      </c>
      <c r="B16" s="64" t="s">
        <v>319</v>
      </c>
      <c r="C16" s="60" t="s">
        <v>330</v>
      </c>
      <c r="D16" s="61" t="s">
        <v>331</v>
      </c>
      <c r="E16" s="65">
        <f>E17+E18</f>
        <v>9178.7999999999993</v>
      </c>
      <c r="F16" s="65">
        <f t="shared" ref="F16:G16" si="4">F17+F18</f>
        <v>17983.943999999996</v>
      </c>
      <c r="G16" s="65">
        <f t="shared" si="4"/>
        <v>19966.817279999996</v>
      </c>
      <c r="H16" s="3"/>
      <c r="I16" s="71"/>
      <c r="J16" s="3"/>
      <c r="K16" s="3"/>
      <c r="L16" s="71"/>
      <c r="M16" s="3"/>
    </row>
    <row r="17" spans="1:14" ht="56.25" x14ac:dyDescent="0.25">
      <c r="A17" s="110" t="s">
        <v>332</v>
      </c>
      <c r="B17" s="68" t="s">
        <v>319</v>
      </c>
      <c r="C17" s="69" t="s">
        <v>333</v>
      </c>
      <c r="D17" s="70" t="s">
        <v>331</v>
      </c>
      <c r="E17" s="247">
        <f>13965.4-4788.1</f>
        <v>9177.2999999999993</v>
      </c>
      <c r="F17" s="247">
        <f>E17*1.13+7611.9</f>
        <v>17982.248999999996</v>
      </c>
      <c r="G17" s="250">
        <f>F17*1.12+5659.5-5834.7</f>
        <v>19964.918879999997</v>
      </c>
      <c r="H17" s="3"/>
      <c r="I17" s="74"/>
      <c r="J17" s="3"/>
      <c r="K17" s="3"/>
      <c r="L17" s="75"/>
      <c r="M17" s="3"/>
      <c r="N17" s="76"/>
    </row>
    <row r="18" spans="1:14" ht="73.5" customHeight="1" x14ac:dyDescent="0.25">
      <c r="A18" s="110" t="s">
        <v>334</v>
      </c>
      <c r="B18" s="68" t="s">
        <v>319</v>
      </c>
      <c r="C18" s="69" t="s">
        <v>335</v>
      </c>
      <c r="D18" s="70" t="s">
        <v>336</v>
      </c>
      <c r="E18" s="249">
        <v>1.5</v>
      </c>
      <c r="F18" s="247">
        <f>E18*1.13</f>
        <v>1.6949999999999998</v>
      </c>
      <c r="G18" s="250">
        <f t="shared" ref="G18:G19" si="5">F18*1.12</f>
        <v>1.8984000000000001</v>
      </c>
      <c r="H18" s="3"/>
      <c r="I18" s="71"/>
      <c r="J18" s="3"/>
      <c r="K18" s="3"/>
      <c r="L18" s="71"/>
      <c r="M18" s="3"/>
    </row>
    <row r="19" spans="1:14" ht="37.5" x14ac:dyDescent="0.25">
      <c r="A19" s="109" t="s">
        <v>337</v>
      </c>
      <c r="B19" s="64" t="s">
        <v>319</v>
      </c>
      <c r="C19" s="60" t="s">
        <v>338</v>
      </c>
      <c r="D19" s="61" t="s">
        <v>339</v>
      </c>
      <c r="E19" s="65">
        <v>1</v>
      </c>
      <c r="F19" s="247">
        <f t="shared" ref="F19" si="6">E19*1.13</f>
        <v>1.1299999999999999</v>
      </c>
      <c r="G19" s="250">
        <f t="shared" si="5"/>
        <v>1.2656000000000001</v>
      </c>
      <c r="H19" s="3"/>
      <c r="I19" s="71"/>
      <c r="J19" s="3"/>
      <c r="K19" s="3"/>
      <c r="L19" s="71"/>
      <c r="M19" s="3"/>
    </row>
    <row r="20" spans="1:14" ht="37.5" x14ac:dyDescent="0.25">
      <c r="A20" s="109" t="s">
        <v>3</v>
      </c>
      <c r="B20" s="64" t="s">
        <v>319</v>
      </c>
      <c r="C20" s="60" t="s">
        <v>340</v>
      </c>
      <c r="D20" s="61" t="s">
        <v>341</v>
      </c>
      <c r="E20" s="65">
        <f>E21+E22</f>
        <v>10320.199999999999</v>
      </c>
      <c r="F20" s="65">
        <f>F21+F22</f>
        <v>0</v>
      </c>
      <c r="G20" s="65">
        <f t="shared" ref="G20" si="7">G21+G22</f>
        <v>0</v>
      </c>
      <c r="H20" s="3"/>
      <c r="I20" s="71"/>
      <c r="J20" s="3"/>
      <c r="K20" s="3"/>
      <c r="L20" s="71"/>
      <c r="M20" s="3"/>
    </row>
    <row r="21" spans="1:14" ht="37.5" x14ac:dyDescent="0.25">
      <c r="A21" s="110" t="s">
        <v>4</v>
      </c>
      <c r="B21" s="68" t="s">
        <v>319</v>
      </c>
      <c r="C21" s="69" t="s">
        <v>342</v>
      </c>
      <c r="D21" s="70" t="s">
        <v>343</v>
      </c>
      <c r="E21" s="249">
        <f>14439.4-3609.9-406.2-104.1</f>
        <v>10319.199999999999</v>
      </c>
      <c r="F21" s="249">
        <v>0</v>
      </c>
      <c r="G21" s="249">
        <v>0</v>
      </c>
      <c r="H21" s="3"/>
      <c r="I21" s="71"/>
      <c r="J21" s="3"/>
      <c r="K21" s="3"/>
      <c r="L21" s="71"/>
      <c r="M21" s="3"/>
    </row>
    <row r="22" spans="1:14" ht="56.25" x14ac:dyDescent="0.25">
      <c r="A22" s="110" t="s">
        <v>5</v>
      </c>
      <c r="B22" s="68" t="s">
        <v>319</v>
      </c>
      <c r="C22" s="69" t="s">
        <v>344</v>
      </c>
      <c r="D22" s="70" t="s">
        <v>345</v>
      </c>
      <c r="E22" s="249">
        <v>1</v>
      </c>
      <c r="F22" s="249">
        <v>0</v>
      </c>
      <c r="G22" s="250">
        <v>0</v>
      </c>
      <c r="H22" s="3"/>
      <c r="I22" s="71"/>
      <c r="J22" s="3"/>
      <c r="K22" s="3"/>
      <c r="L22" s="71"/>
      <c r="M22" s="3"/>
    </row>
    <row r="23" spans="1:14" ht="37.5" x14ac:dyDescent="0.25">
      <c r="A23" s="109" t="s">
        <v>6</v>
      </c>
      <c r="B23" s="64" t="s">
        <v>319</v>
      </c>
      <c r="C23" s="60" t="s">
        <v>346</v>
      </c>
      <c r="D23" s="61" t="s">
        <v>347</v>
      </c>
      <c r="E23" s="65">
        <f>E24</f>
        <v>2331.3000000000002</v>
      </c>
      <c r="F23" s="65">
        <f t="shared" ref="F23:G23" si="8">F24</f>
        <v>4330.6900000000005</v>
      </c>
      <c r="G23" s="65">
        <f t="shared" si="8"/>
        <v>5629.8970000000008</v>
      </c>
      <c r="H23" s="3"/>
      <c r="I23" s="71"/>
      <c r="J23" s="3"/>
      <c r="K23" s="3"/>
      <c r="L23" s="71"/>
      <c r="M23" s="3"/>
    </row>
    <row r="24" spans="1:14" ht="56.25" x14ac:dyDescent="0.25">
      <c r="A24" s="110" t="s">
        <v>7</v>
      </c>
      <c r="B24" s="68" t="s">
        <v>319</v>
      </c>
      <c r="C24" s="68" t="s">
        <v>348</v>
      </c>
      <c r="D24" s="78" t="s">
        <v>349</v>
      </c>
      <c r="E24" s="249">
        <f>3108.3-777</f>
        <v>2331.3000000000002</v>
      </c>
      <c r="F24" s="249">
        <f>E24*1.3+1300</f>
        <v>4330.6900000000005</v>
      </c>
      <c r="G24" s="250">
        <f>F24*1.3</f>
        <v>5629.8970000000008</v>
      </c>
      <c r="H24" s="77"/>
      <c r="I24" s="71"/>
      <c r="J24" s="3"/>
      <c r="K24" s="3"/>
      <c r="L24" s="71"/>
      <c r="M24" s="3"/>
    </row>
    <row r="25" spans="1:14" ht="56.45" customHeight="1" x14ac:dyDescent="0.25">
      <c r="A25" s="109" t="s">
        <v>39</v>
      </c>
      <c r="B25" s="64" t="s">
        <v>314</v>
      </c>
      <c r="C25" s="81" t="s">
        <v>444</v>
      </c>
      <c r="D25" s="61" t="s">
        <v>553</v>
      </c>
      <c r="E25" s="65">
        <f>E26+E27</f>
        <v>270.7</v>
      </c>
      <c r="F25" s="65">
        <f t="shared" ref="F25:G25" si="9">F26+F27</f>
        <v>221</v>
      </c>
      <c r="G25" s="65">
        <f t="shared" si="9"/>
        <v>55.9</v>
      </c>
      <c r="H25" s="3"/>
      <c r="I25" s="3"/>
      <c r="J25" s="3"/>
      <c r="K25" s="3"/>
      <c r="L25" s="3"/>
      <c r="M25" s="3"/>
    </row>
    <row r="26" spans="1:14" ht="91.5" customHeight="1" x14ac:dyDescent="0.25">
      <c r="A26" s="110" t="s">
        <v>42</v>
      </c>
      <c r="B26" s="68" t="s">
        <v>554</v>
      </c>
      <c r="C26" s="82" t="s">
        <v>446</v>
      </c>
      <c r="D26" s="70" t="s">
        <v>447</v>
      </c>
      <c r="E26" s="249">
        <v>44.1</v>
      </c>
      <c r="F26" s="249">
        <v>49.9</v>
      </c>
      <c r="G26" s="249">
        <v>55.9</v>
      </c>
      <c r="H26" s="83"/>
      <c r="I26" s="83"/>
      <c r="J26" s="3"/>
      <c r="K26" s="3"/>
      <c r="L26" s="3"/>
      <c r="M26" s="3"/>
    </row>
    <row r="27" spans="1:14" ht="91.5" customHeight="1" x14ac:dyDescent="0.25">
      <c r="A27" s="110" t="s">
        <v>42</v>
      </c>
      <c r="B27" s="68" t="s">
        <v>10</v>
      </c>
      <c r="C27" s="82" t="s">
        <v>445</v>
      </c>
      <c r="D27" s="70" t="s">
        <v>448</v>
      </c>
      <c r="E27" s="249">
        <v>226.6</v>
      </c>
      <c r="F27" s="251">
        <v>171.1</v>
      </c>
      <c r="G27" s="252">
        <v>0</v>
      </c>
      <c r="H27" s="83"/>
      <c r="I27" s="83"/>
      <c r="J27" s="3"/>
      <c r="K27" s="3"/>
      <c r="L27" s="3"/>
      <c r="M27" s="3"/>
    </row>
    <row r="28" spans="1:14" ht="21" customHeight="1" x14ac:dyDescent="0.25">
      <c r="A28" s="109" t="s">
        <v>8</v>
      </c>
      <c r="B28" s="64" t="s">
        <v>314</v>
      </c>
      <c r="C28" s="81" t="s">
        <v>350</v>
      </c>
      <c r="D28" s="61" t="s">
        <v>351</v>
      </c>
      <c r="E28" s="65">
        <f>E29+E30+E32</f>
        <v>2365.2999999999997</v>
      </c>
      <c r="F28" s="65">
        <f t="shared" ref="F28" si="10">F29+F30+F32</f>
        <v>4623.7</v>
      </c>
      <c r="G28" s="65">
        <f>G29+G30+G32</f>
        <v>3800.9999999999991</v>
      </c>
      <c r="H28" s="3"/>
      <c r="I28" s="3"/>
      <c r="J28" s="3"/>
      <c r="K28" s="3"/>
      <c r="L28" s="3"/>
      <c r="M28" s="3"/>
    </row>
    <row r="29" spans="1:14" ht="91.5" customHeight="1" x14ac:dyDescent="0.25">
      <c r="A29" s="110" t="s">
        <v>60</v>
      </c>
      <c r="B29" s="68" t="s">
        <v>319</v>
      </c>
      <c r="C29" s="82" t="s">
        <v>352</v>
      </c>
      <c r="D29" s="70" t="s">
        <v>353</v>
      </c>
      <c r="E29" s="249">
        <v>10</v>
      </c>
      <c r="F29" s="251">
        <v>10</v>
      </c>
      <c r="G29" s="252">
        <v>10</v>
      </c>
      <c r="H29" s="83"/>
      <c r="I29" s="83"/>
      <c r="J29" s="3"/>
      <c r="K29" s="3"/>
      <c r="L29" s="3"/>
      <c r="M29" s="3"/>
    </row>
    <row r="30" spans="1:14" ht="57" customHeight="1" x14ac:dyDescent="0.25">
      <c r="A30" s="109" t="s">
        <v>64</v>
      </c>
      <c r="B30" s="64" t="s">
        <v>314</v>
      </c>
      <c r="C30" s="81" t="s">
        <v>354</v>
      </c>
      <c r="D30" s="61" t="s">
        <v>355</v>
      </c>
      <c r="E30" s="65">
        <f>E31</f>
        <v>0</v>
      </c>
      <c r="F30" s="65">
        <f t="shared" ref="F30:G30" si="11">F31</f>
        <v>0</v>
      </c>
      <c r="G30" s="65">
        <f t="shared" si="11"/>
        <v>0</v>
      </c>
      <c r="H30" s="3"/>
      <c r="I30" s="3"/>
      <c r="J30" s="3"/>
      <c r="K30" s="3"/>
      <c r="L30" s="3"/>
      <c r="M30" s="3"/>
    </row>
    <row r="31" spans="1:14" ht="110.25" customHeight="1" x14ac:dyDescent="0.25">
      <c r="A31" s="110" t="s">
        <v>67</v>
      </c>
      <c r="B31" s="68" t="s">
        <v>356</v>
      </c>
      <c r="C31" s="82" t="s">
        <v>357</v>
      </c>
      <c r="D31" s="70" t="s">
        <v>358</v>
      </c>
      <c r="E31" s="249">
        <v>0</v>
      </c>
      <c r="F31" s="249">
        <v>0</v>
      </c>
      <c r="G31" s="250">
        <v>0</v>
      </c>
      <c r="H31" s="3"/>
      <c r="I31" s="84"/>
      <c r="J31" s="3"/>
      <c r="K31" s="3"/>
      <c r="L31" s="3"/>
      <c r="M31" s="3"/>
    </row>
    <row r="32" spans="1:14" ht="37.5" x14ac:dyDescent="0.25">
      <c r="A32" s="109" t="s">
        <v>68</v>
      </c>
      <c r="B32" s="64" t="s">
        <v>314</v>
      </c>
      <c r="C32" s="81" t="s">
        <v>586</v>
      </c>
      <c r="D32" s="61" t="s">
        <v>359</v>
      </c>
      <c r="E32" s="65">
        <f>SUM(E33)</f>
        <v>2355.2999999999997</v>
      </c>
      <c r="F32" s="65">
        <f t="shared" ref="F32:G32" si="12">SUM(F33)</f>
        <v>4613.7</v>
      </c>
      <c r="G32" s="65">
        <f t="shared" si="12"/>
        <v>3790.9999999999991</v>
      </c>
      <c r="H32" s="3"/>
      <c r="I32" s="3"/>
      <c r="J32" s="3"/>
      <c r="K32" s="3"/>
      <c r="L32" s="3"/>
      <c r="M32" s="3"/>
    </row>
    <row r="33" spans="1:13" ht="93.75" x14ac:dyDescent="0.25">
      <c r="A33" s="109" t="s">
        <v>69</v>
      </c>
      <c r="B33" s="64" t="s">
        <v>314</v>
      </c>
      <c r="C33" s="85" t="s">
        <v>585</v>
      </c>
      <c r="D33" s="61" t="s">
        <v>360</v>
      </c>
      <c r="E33" s="65">
        <f>SUM(E34:E40)</f>
        <v>2355.2999999999997</v>
      </c>
      <c r="F33" s="65">
        <f>SUM(F34:F40)</f>
        <v>4613.7</v>
      </c>
      <c r="G33" s="65">
        <f>SUM(G34:G40)</f>
        <v>3790.9999999999991</v>
      </c>
      <c r="H33" s="3"/>
      <c r="I33" s="3"/>
      <c r="J33" s="3"/>
      <c r="K33" s="3"/>
      <c r="L33" s="3"/>
      <c r="M33" s="3"/>
    </row>
    <row r="34" spans="1:13" ht="99.75" customHeight="1" x14ac:dyDescent="0.25">
      <c r="A34" s="110" t="s">
        <v>361</v>
      </c>
      <c r="B34" s="68" t="s">
        <v>362</v>
      </c>
      <c r="C34" s="82" t="s">
        <v>583</v>
      </c>
      <c r="D34" s="70" t="s">
        <v>587</v>
      </c>
      <c r="E34" s="247">
        <f>2749.1-1099.6-479.3+104.1</f>
        <v>1274.3</v>
      </c>
      <c r="F34" s="249">
        <f>2829.9+1099.4-1186.6+117.7</f>
        <v>2860.4</v>
      </c>
      <c r="G34" s="248">
        <f>3169.6-957.2+131.8</f>
        <v>2344.1999999999998</v>
      </c>
      <c r="H34" s="3"/>
      <c r="I34" s="86"/>
      <c r="J34" s="3"/>
      <c r="K34" s="3"/>
      <c r="L34" s="3"/>
      <c r="M34" s="3"/>
    </row>
    <row r="35" spans="1:13" ht="99.75" customHeight="1" x14ac:dyDescent="0.25">
      <c r="A35" s="110" t="s">
        <v>361</v>
      </c>
      <c r="B35" s="68" t="s">
        <v>362</v>
      </c>
      <c r="C35" s="82" t="s">
        <v>584</v>
      </c>
      <c r="D35" s="70" t="s">
        <v>590</v>
      </c>
      <c r="E35" s="247">
        <f>479.3</f>
        <v>479.3</v>
      </c>
      <c r="F35" s="249">
        <v>1186.5999999999999</v>
      </c>
      <c r="G35" s="248">
        <v>957.2</v>
      </c>
      <c r="H35" s="3"/>
      <c r="I35" s="86"/>
      <c r="J35" s="3"/>
      <c r="K35" s="3"/>
      <c r="L35" s="3"/>
      <c r="M35" s="3"/>
    </row>
    <row r="36" spans="1:13" ht="105" customHeight="1" x14ac:dyDescent="0.25">
      <c r="A36" s="110" t="s">
        <v>363</v>
      </c>
      <c r="B36" s="68" t="s">
        <v>588</v>
      </c>
      <c r="C36" s="82" t="s">
        <v>583</v>
      </c>
      <c r="D36" s="70" t="s">
        <v>587</v>
      </c>
      <c r="E36" s="247">
        <v>104.1</v>
      </c>
      <c r="F36" s="249">
        <v>17.100000000000001</v>
      </c>
      <c r="G36" s="248">
        <v>19.100000000000001</v>
      </c>
      <c r="H36" s="3"/>
      <c r="I36" s="83"/>
      <c r="J36" s="3"/>
      <c r="K36" s="3"/>
      <c r="L36" s="3"/>
      <c r="M36" s="3"/>
    </row>
    <row r="37" spans="1:13" ht="105" customHeight="1" x14ac:dyDescent="0.25">
      <c r="A37" s="110" t="s">
        <v>363</v>
      </c>
      <c r="B37" s="68" t="s">
        <v>364</v>
      </c>
      <c r="C37" s="82" t="s">
        <v>583</v>
      </c>
      <c r="D37" s="70" t="s">
        <v>587</v>
      </c>
      <c r="E37" s="247">
        <v>15.1</v>
      </c>
      <c r="F37" s="249">
        <v>17.100000000000001</v>
      </c>
      <c r="G37" s="248">
        <v>19.100000000000001</v>
      </c>
      <c r="H37" s="3"/>
      <c r="I37" s="83"/>
      <c r="J37" s="3"/>
      <c r="K37" s="3"/>
      <c r="L37" s="3"/>
      <c r="M37" s="3"/>
    </row>
    <row r="38" spans="1:13" ht="105" customHeight="1" x14ac:dyDescent="0.25">
      <c r="A38" s="110" t="s">
        <v>365</v>
      </c>
      <c r="B38" s="68" t="s">
        <v>390</v>
      </c>
      <c r="C38" s="82" t="s">
        <v>584</v>
      </c>
      <c r="D38" s="70" t="s">
        <v>590</v>
      </c>
      <c r="E38" s="247">
        <v>52.7</v>
      </c>
      <c r="F38" s="249">
        <v>59.1</v>
      </c>
      <c r="G38" s="248">
        <v>66.2</v>
      </c>
      <c r="H38" s="3"/>
      <c r="I38" s="83"/>
      <c r="J38" s="3"/>
      <c r="K38" s="3"/>
      <c r="L38" s="3"/>
      <c r="M38" s="3"/>
    </row>
    <row r="39" spans="1:13" ht="96" customHeight="1" x14ac:dyDescent="0.25">
      <c r="A39" s="111" t="s">
        <v>367</v>
      </c>
      <c r="B39" s="68" t="s">
        <v>366</v>
      </c>
      <c r="C39" s="82" t="s">
        <v>583</v>
      </c>
      <c r="D39" s="70" t="s">
        <v>587</v>
      </c>
      <c r="E39" s="249">
        <v>376.3</v>
      </c>
      <c r="F39" s="249">
        <v>412.9</v>
      </c>
      <c r="G39" s="248">
        <v>317.5</v>
      </c>
      <c r="H39" s="3"/>
      <c r="I39" s="83"/>
      <c r="J39" s="3"/>
      <c r="K39" s="3"/>
      <c r="L39" s="3"/>
      <c r="M39" s="3"/>
    </row>
    <row r="40" spans="1:13" s="10" customFormat="1" ht="105" customHeight="1" x14ac:dyDescent="0.25">
      <c r="A40" s="110" t="s">
        <v>369</v>
      </c>
      <c r="B40" s="79" t="s">
        <v>368</v>
      </c>
      <c r="C40" s="82" t="s">
        <v>584</v>
      </c>
      <c r="D40" s="80" t="s">
        <v>589</v>
      </c>
      <c r="E40" s="249">
        <v>53.5</v>
      </c>
      <c r="F40" s="249">
        <v>60.5</v>
      </c>
      <c r="G40" s="248">
        <v>67.7</v>
      </c>
      <c r="H40" s="43"/>
      <c r="I40" s="88"/>
      <c r="J40" s="43"/>
      <c r="K40" s="43"/>
      <c r="L40" s="43"/>
      <c r="M40" s="43"/>
    </row>
    <row r="41" spans="1:13" ht="18.75" x14ac:dyDescent="0.25">
      <c r="A41" s="109" t="s">
        <v>14</v>
      </c>
      <c r="B41" s="64" t="s">
        <v>314</v>
      </c>
      <c r="C41" s="81" t="s">
        <v>370</v>
      </c>
      <c r="D41" s="61" t="s">
        <v>371</v>
      </c>
      <c r="E41" s="65">
        <f t="shared" ref="E41:G41" si="13">E42</f>
        <v>29485.1</v>
      </c>
      <c r="F41" s="65">
        <f t="shared" si="13"/>
        <v>9854.5</v>
      </c>
      <c r="G41" s="108">
        <f t="shared" si="13"/>
        <v>10257.099999999999</v>
      </c>
      <c r="H41" s="3"/>
      <c r="I41" s="3"/>
      <c r="J41" s="3"/>
      <c r="K41" s="3"/>
      <c r="L41" s="3"/>
      <c r="M41" s="3"/>
    </row>
    <row r="42" spans="1:13" ht="56.25" x14ac:dyDescent="0.25">
      <c r="A42" s="109" t="s">
        <v>12</v>
      </c>
      <c r="B42" s="64" t="s">
        <v>314</v>
      </c>
      <c r="C42" s="81" t="s">
        <v>372</v>
      </c>
      <c r="D42" s="61" t="s">
        <v>373</v>
      </c>
      <c r="E42" s="65">
        <f>E48+E46+E43</f>
        <v>29485.1</v>
      </c>
      <c r="F42" s="65">
        <f>F48</f>
        <v>9854.5</v>
      </c>
      <c r="G42" s="108">
        <f>G48</f>
        <v>10257.099999999999</v>
      </c>
      <c r="H42" s="3"/>
      <c r="I42" s="3"/>
      <c r="J42" s="3"/>
      <c r="K42" s="3"/>
      <c r="L42" s="3"/>
      <c r="M42" s="3"/>
    </row>
    <row r="43" spans="1:13" ht="37.5" x14ac:dyDescent="0.25">
      <c r="A43" s="109" t="s">
        <v>15</v>
      </c>
      <c r="B43" s="64" t="s">
        <v>10</v>
      </c>
      <c r="C43" s="81" t="s">
        <v>497</v>
      </c>
      <c r="D43" s="145" t="s">
        <v>441</v>
      </c>
      <c r="E43" s="65">
        <f>E44</f>
        <v>0</v>
      </c>
      <c r="F43" s="65"/>
      <c r="G43" s="108"/>
      <c r="H43" s="3"/>
      <c r="I43" s="3"/>
      <c r="J43" s="3"/>
      <c r="K43" s="3"/>
      <c r="L43" s="3"/>
      <c r="M43" s="3"/>
    </row>
    <row r="44" spans="1:13" ht="18.75" x14ac:dyDescent="0.25">
      <c r="A44" s="110" t="s">
        <v>456</v>
      </c>
      <c r="B44" s="68" t="s">
        <v>10</v>
      </c>
      <c r="C44" s="82" t="s">
        <v>498</v>
      </c>
      <c r="D44" s="80" t="s">
        <v>442</v>
      </c>
      <c r="E44" s="65">
        <f>E45</f>
        <v>0</v>
      </c>
      <c r="F44" s="65"/>
      <c r="G44" s="108"/>
      <c r="H44" s="3"/>
      <c r="I44" s="3"/>
      <c r="J44" s="3"/>
      <c r="K44" s="3"/>
      <c r="L44" s="3"/>
      <c r="M44" s="3"/>
    </row>
    <row r="45" spans="1:13" ht="56.25" x14ac:dyDescent="0.25">
      <c r="A45" s="110" t="s">
        <v>457</v>
      </c>
      <c r="B45" s="68" t="s">
        <v>10</v>
      </c>
      <c r="C45" s="82" t="s">
        <v>499</v>
      </c>
      <c r="D45" s="80" t="s">
        <v>443</v>
      </c>
      <c r="E45" s="65">
        <v>0</v>
      </c>
      <c r="F45" s="65"/>
      <c r="G45" s="108"/>
      <c r="H45" s="3"/>
      <c r="I45" s="3"/>
      <c r="J45" s="3"/>
      <c r="K45" s="3"/>
      <c r="L45" s="3"/>
      <c r="M45" s="3"/>
    </row>
    <row r="46" spans="1:13" ht="56.25" x14ac:dyDescent="0.25">
      <c r="A46" s="109" t="s">
        <v>459</v>
      </c>
      <c r="B46" s="64" t="s">
        <v>10</v>
      </c>
      <c r="C46" s="81" t="s">
        <v>500</v>
      </c>
      <c r="D46" s="61" t="s">
        <v>415</v>
      </c>
      <c r="E46" s="65">
        <f>E47</f>
        <v>20000</v>
      </c>
      <c r="F46" s="65"/>
      <c r="G46" s="108"/>
      <c r="H46" s="3"/>
      <c r="I46" s="3"/>
      <c r="J46" s="3"/>
      <c r="K46" s="3"/>
      <c r="L46" s="3"/>
      <c r="M46" s="3"/>
    </row>
    <row r="47" spans="1:13" ht="56.25" x14ac:dyDescent="0.25">
      <c r="A47" s="110" t="s">
        <v>458</v>
      </c>
      <c r="B47" s="68" t="s">
        <v>10</v>
      </c>
      <c r="C47" s="82" t="s">
        <v>501</v>
      </c>
      <c r="D47" s="70" t="s">
        <v>414</v>
      </c>
      <c r="E47" s="65">
        <v>20000</v>
      </c>
      <c r="F47" s="65"/>
      <c r="G47" s="108"/>
      <c r="H47" s="3"/>
      <c r="I47" s="3"/>
      <c r="J47" s="3"/>
      <c r="K47" s="3"/>
      <c r="L47" s="3"/>
      <c r="M47" s="3"/>
    </row>
    <row r="48" spans="1:13" ht="37.5" x14ac:dyDescent="0.25">
      <c r="A48" s="109" t="s">
        <v>432</v>
      </c>
      <c r="B48" s="64" t="s">
        <v>314</v>
      </c>
      <c r="C48" s="81" t="s">
        <v>502</v>
      </c>
      <c r="D48" s="61" t="s">
        <v>374</v>
      </c>
      <c r="E48" s="65">
        <f>E49+E53</f>
        <v>9485.1</v>
      </c>
      <c r="F48" s="65">
        <f t="shared" ref="F48:G48" si="14">F49+F53</f>
        <v>9854.5</v>
      </c>
      <c r="G48" s="108">
        <f t="shared" si="14"/>
        <v>10257.099999999999</v>
      </c>
      <c r="H48" s="3"/>
      <c r="I48" s="3"/>
      <c r="J48" s="3"/>
      <c r="K48" s="3"/>
      <c r="L48" s="3"/>
      <c r="M48" s="3"/>
    </row>
    <row r="49" spans="1:14" ht="56.25" x14ac:dyDescent="0.25">
      <c r="A49" s="109" t="s">
        <v>433</v>
      </c>
      <c r="B49" s="64" t="s">
        <v>314</v>
      </c>
      <c r="C49" s="81" t="s">
        <v>503</v>
      </c>
      <c r="D49" s="61" t="s">
        <v>375</v>
      </c>
      <c r="E49" s="65">
        <f>E50</f>
        <v>2608.4</v>
      </c>
      <c r="F49" s="65">
        <f t="shared" ref="F49:G49" si="15">F50</f>
        <v>2710.3</v>
      </c>
      <c r="G49" s="108">
        <f t="shared" si="15"/>
        <v>2821.2</v>
      </c>
      <c r="H49" s="3"/>
      <c r="I49" s="3"/>
      <c r="J49" s="3"/>
      <c r="K49" s="3"/>
      <c r="L49" s="3"/>
      <c r="M49" s="3"/>
    </row>
    <row r="50" spans="1:14" ht="93.75" x14ac:dyDescent="0.25">
      <c r="A50" s="109" t="s">
        <v>434</v>
      </c>
      <c r="B50" s="64" t="s">
        <v>314</v>
      </c>
      <c r="C50" s="81" t="s">
        <v>505</v>
      </c>
      <c r="D50" s="89" t="s">
        <v>376</v>
      </c>
      <c r="E50" s="65">
        <f>E51+E52</f>
        <v>2608.4</v>
      </c>
      <c r="F50" s="65">
        <f t="shared" ref="F50:G50" si="16">F51+F52</f>
        <v>2710.3</v>
      </c>
      <c r="G50" s="65">
        <f t="shared" si="16"/>
        <v>2821.2</v>
      </c>
      <c r="H50" s="3"/>
      <c r="I50" s="3"/>
      <c r="J50" s="3"/>
      <c r="K50" s="3"/>
      <c r="L50" s="3"/>
      <c r="M50" s="3"/>
    </row>
    <row r="51" spans="1:14" ht="93.75" x14ac:dyDescent="0.25">
      <c r="A51" s="110" t="s">
        <v>435</v>
      </c>
      <c r="B51" s="68" t="s">
        <v>10</v>
      </c>
      <c r="C51" s="82" t="s">
        <v>504</v>
      </c>
      <c r="D51" s="90" t="s">
        <v>377</v>
      </c>
      <c r="E51" s="249">
        <v>2600.9</v>
      </c>
      <c r="F51" s="249">
        <v>2702.5</v>
      </c>
      <c r="G51" s="253">
        <v>2813.1</v>
      </c>
      <c r="H51" s="3"/>
      <c r="I51" s="3"/>
      <c r="J51" s="3"/>
      <c r="K51" s="3"/>
      <c r="L51" s="3"/>
      <c r="M51" s="3"/>
    </row>
    <row r="52" spans="1:14" ht="151.5" customHeight="1" x14ac:dyDescent="0.25">
      <c r="A52" s="110" t="s">
        <v>436</v>
      </c>
      <c r="B52" s="79" t="s">
        <v>10</v>
      </c>
      <c r="C52" s="87" t="s">
        <v>506</v>
      </c>
      <c r="D52" s="112" t="s">
        <v>378</v>
      </c>
      <c r="E52" s="249">
        <v>7.5</v>
      </c>
      <c r="F52" s="249">
        <v>7.8</v>
      </c>
      <c r="G52" s="253">
        <v>8.1</v>
      </c>
      <c r="H52" s="3"/>
      <c r="I52" s="3"/>
      <c r="J52" s="3"/>
      <c r="K52" s="3"/>
      <c r="L52" s="3"/>
      <c r="M52" s="3"/>
    </row>
    <row r="53" spans="1:14" ht="79.5" customHeight="1" x14ac:dyDescent="0.25">
      <c r="A53" s="109" t="s">
        <v>437</v>
      </c>
      <c r="B53" s="64" t="s">
        <v>314</v>
      </c>
      <c r="C53" s="81" t="s">
        <v>507</v>
      </c>
      <c r="D53" s="61" t="s">
        <v>450</v>
      </c>
      <c r="E53" s="65">
        <f>E54</f>
        <v>6876.7000000000007</v>
      </c>
      <c r="F53" s="65">
        <f t="shared" ref="F53:G53" si="17">F54</f>
        <v>7144.2</v>
      </c>
      <c r="G53" s="108">
        <f t="shared" si="17"/>
        <v>7435.9</v>
      </c>
      <c r="H53" s="3"/>
      <c r="I53" s="3"/>
      <c r="J53" s="3"/>
      <c r="K53" s="3"/>
      <c r="L53" s="3"/>
      <c r="M53" s="3"/>
    </row>
    <row r="54" spans="1:14" ht="114.75" customHeight="1" x14ac:dyDescent="0.25">
      <c r="A54" s="109" t="s">
        <v>438</v>
      </c>
      <c r="B54" s="64" t="s">
        <v>10</v>
      </c>
      <c r="C54" s="81" t="s">
        <v>508</v>
      </c>
      <c r="D54" s="61" t="s">
        <v>379</v>
      </c>
      <c r="E54" s="65">
        <f>E55+E56</f>
        <v>6876.7000000000007</v>
      </c>
      <c r="F54" s="65">
        <f t="shared" ref="F54:G54" si="18">F55+F56</f>
        <v>7144.2</v>
      </c>
      <c r="G54" s="65">
        <f t="shared" si="18"/>
        <v>7435.9</v>
      </c>
      <c r="H54" s="3"/>
      <c r="I54" s="3"/>
      <c r="J54" s="3"/>
      <c r="K54" s="3"/>
      <c r="L54" s="3"/>
      <c r="M54" s="3"/>
    </row>
    <row r="55" spans="1:14" ht="54.75" customHeight="1" x14ac:dyDescent="0.25">
      <c r="A55" s="110" t="s">
        <v>439</v>
      </c>
      <c r="B55" s="68" t="s">
        <v>10</v>
      </c>
      <c r="C55" s="82" t="s">
        <v>509</v>
      </c>
      <c r="D55" s="70" t="s">
        <v>380</v>
      </c>
      <c r="E55" s="249">
        <v>4943.6000000000004</v>
      </c>
      <c r="F55" s="254">
        <v>5136</v>
      </c>
      <c r="G55" s="253">
        <v>5345.7</v>
      </c>
      <c r="H55" s="3"/>
      <c r="I55" s="3"/>
      <c r="J55" s="3"/>
      <c r="K55" s="3"/>
      <c r="L55" s="3"/>
      <c r="M55" s="3"/>
    </row>
    <row r="56" spans="1:14" ht="57.75" customHeight="1" x14ac:dyDescent="0.25">
      <c r="A56" s="110" t="s">
        <v>440</v>
      </c>
      <c r="B56" s="68" t="s">
        <v>10</v>
      </c>
      <c r="C56" s="82" t="s">
        <v>510</v>
      </c>
      <c r="D56" s="91" t="s">
        <v>381</v>
      </c>
      <c r="E56" s="249">
        <v>1933.1</v>
      </c>
      <c r="F56" s="254">
        <v>2008.2</v>
      </c>
      <c r="G56" s="253">
        <v>2090.1999999999998</v>
      </c>
      <c r="H56" s="3"/>
      <c r="I56" s="3"/>
      <c r="J56" s="3"/>
      <c r="K56" s="3"/>
      <c r="L56" s="3"/>
      <c r="M56" s="3"/>
    </row>
    <row r="57" spans="1:14" ht="19.5" thickBot="1" x14ac:dyDescent="0.3">
      <c r="A57" s="113"/>
      <c r="B57" s="114"/>
      <c r="C57" s="114"/>
      <c r="D57" s="115" t="s">
        <v>382</v>
      </c>
      <c r="E57" s="116">
        <f>SUM(E10+E41)</f>
        <v>69467.5</v>
      </c>
      <c r="F57" s="116">
        <f>SUM(F10+F41)</f>
        <v>72335.905999999988</v>
      </c>
      <c r="G57" s="117">
        <f>SUM(G10+G41)</f>
        <v>78893.056920000003</v>
      </c>
      <c r="H57" s="3"/>
      <c r="I57" s="71"/>
      <c r="J57" s="3"/>
      <c r="K57" s="3"/>
      <c r="L57" s="3"/>
      <c r="M57" s="3"/>
      <c r="N57" s="94"/>
    </row>
    <row r="58" spans="1:14" ht="15.75" x14ac:dyDescent="0.25">
      <c r="A58" s="1"/>
      <c r="B58" s="1"/>
      <c r="C58" s="1"/>
      <c r="D58" s="92"/>
      <c r="E58" s="93"/>
      <c r="F58" s="97"/>
      <c r="G58" s="43"/>
      <c r="H58" s="3"/>
      <c r="I58" s="3"/>
      <c r="J58" s="3"/>
      <c r="K58" s="3"/>
      <c r="L58" s="3"/>
      <c r="M58" s="3"/>
    </row>
    <row r="59" spans="1:14" x14ac:dyDescent="0.25">
      <c r="F59" s="43"/>
      <c r="G59" s="43"/>
      <c r="H59" s="3"/>
      <c r="I59" s="3"/>
      <c r="J59" s="3"/>
      <c r="K59" s="3"/>
      <c r="L59" s="3"/>
      <c r="M59" s="3"/>
    </row>
    <row r="61" spans="1:14" x14ac:dyDescent="0.25">
      <c r="M61" s="94"/>
    </row>
  </sheetData>
  <mergeCells count="12">
    <mergeCell ref="F1:G1"/>
    <mergeCell ref="F7:G7"/>
    <mergeCell ref="E2:G2"/>
    <mergeCell ref="E3:G3"/>
    <mergeCell ref="E4:G4"/>
    <mergeCell ref="A5:G5"/>
    <mergeCell ref="A7:A8"/>
    <mergeCell ref="B7:B8"/>
    <mergeCell ref="C7:C8"/>
    <mergeCell ref="D7:D8"/>
    <mergeCell ref="E7:E8"/>
    <mergeCell ref="C6:D6"/>
  </mergeCells>
  <pageMargins left="0.7" right="0.7" top="0.75" bottom="0.75" header="0.3" footer="0.3"/>
  <pageSetup paperSize="9" scale="48" fitToHeight="0" orientation="portrait" r:id="rId1"/>
  <rowBreaks count="2" manualBreakCount="2">
    <brk id="33" max="6" man="1"/>
    <brk id="5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L160"/>
  <sheetViews>
    <sheetView view="pageBreakPreview" topLeftCell="A112" zoomScaleNormal="100" zoomScaleSheetLayoutView="100" workbookViewId="0">
      <selection activeCell="A96" sqref="A96"/>
    </sheetView>
  </sheetViews>
  <sheetFormatPr defaultRowHeight="15" x14ac:dyDescent="0.25"/>
  <cols>
    <col min="1" max="1" width="19.5703125" style="45" customWidth="1"/>
    <col min="2" max="2" width="47.28515625" style="45" customWidth="1"/>
    <col min="3" max="3" width="10" style="45" customWidth="1"/>
    <col min="4" max="4" width="14.7109375" style="45" customWidth="1"/>
    <col min="5" max="5" width="16.5703125" style="45" customWidth="1"/>
    <col min="6" max="6" width="15.140625" style="45" customWidth="1"/>
    <col min="7" max="7" width="16" style="128" customWidth="1"/>
    <col min="8" max="8" width="13.28515625" style="45" customWidth="1"/>
    <col min="9" max="9" width="14.28515625" style="118" customWidth="1"/>
  </cols>
  <sheetData>
    <row r="1" spans="1:9" ht="19.5" x14ac:dyDescent="0.35">
      <c r="A1" s="40"/>
      <c r="B1" s="146"/>
      <c r="C1" s="9"/>
      <c r="D1" s="146"/>
      <c r="E1" s="147"/>
      <c r="F1" s="5"/>
      <c r="H1" s="148"/>
      <c r="I1" s="6" t="s">
        <v>454</v>
      </c>
    </row>
    <row r="2" spans="1:9" ht="18.75" x14ac:dyDescent="0.3">
      <c r="A2" s="149"/>
      <c r="B2" s="146"/>
      <c r="C2" s="9"/>
      <c r="D2" s="9"/>
      <c r="E2" s="147"/>
      <c r="F2" s="5"/>
      <c r="H2" s="148"/>
      <c r="I2" s="6" t="s">
        <v>17</v>
      </c>
    </row>
    <row r="3" spans="1:9" ht="18.75" x14ac:dyDescent="0.3">
      <c r="A3" s="149"/>
      <c r="B3" s="150"/>
      <c r="C3" s="5"/>
      <c r="D3" s="5"/>
      <c r="E3" s="5"/>
      <c r="F3" s="5"/>
      <c r="H3" s="148"/>
      <c r="I3" s="6" t="s">
        <v>16</v>
      </c>
    </row>
    <row r="4" spans="1:9" ht="18.75" x14ac:dyDescent="0.3">
      <c r="A4" s="149"/>
      <c r="B4" s="7"/>
      <c r="C4" s="8"/>
      <c r="D4" s="9"/>
      <c r="E4" s="133"/>
      <c r="F4" s="5"/>
      <c r="H4" s="148"/>
      <c r="I4" s="6" t="s">
        <v>591</v>
      </c>
    </row>
    <row r="5" spans="1:9" ht="18.75" x14ac:dyDescent="0.3">
      <c r="A5" s="151"/>
      <c r="B5" s="7"/>
      <c r="C5" s="152"/>
      <c r="D5" s="153"/>
      <c r="E5" s="154"/>
      <c r="F5" s="122"/>
      <c r="G5" s="122"/>
      <c r="H5" s="148"/>
      <c r="I5" s="155"/>
    </row>
    <row r="6" spans="1:9" ht="35.450000000000003" customHeight="1" x14ac:dyDescent="0.25">
      <c r="A6" s="316" t="s">
        <v>542</v>
      </c>
      <c r="B6" s="317"/>
      <c r="C6" s="317"/>
      <c r="D6" s="317"/>
      <c r="E6" s="317"/>
      <c r="F6" s="317"/>
      <c r="G6" s="317"/>
      <c r="H6" s="317"/>
      <c r="I6" s="317"/>
    </row>
    <row r="7" spans="1:9" ht="19.5" customHeight="1" x14ac:dyDescent="0.25">
      <c r="A7" s="156"/>
      <c r="B7" s="156"/>
      <c r="C7" s="156"/>
      <c r="D7" s="156"/>
      <c r="E7" s="156"/>
      <c r="F7" s="156"/>
      <c r="G7" s="156"/>
      <c r="H7" s="157"/>
      <c r="I7" s="98" t="s">
        <v>387</v>
      </c>
    </row>
    <row r="8" spans="1:9" ht="28.5" customHeight="1" x14ac:dyDescent="0.25">
      <c r="A8" s="318" t="s">
        <v>18</v>
      </c>
      <c r="B8" s="318" t="s">
        <v>19</v>
      </c>
      <c r="C8" s="318" t="s">
        <v>20</v>
      </c>
      <c r="D8" s="318" t="s">
        <v>388</v>
      </c>
      <c r="E8" s="318" t="s">
        <v>21</v>
      </c>
      <c r="F8" s="318" t="s">
        <v>22</v>
      </c>
      <c r="G8" s="320" t="s">
        <v>386</v>
      </c>
      <c r="H8" s="315" t="s">
        <v>385</v>
      </c>
      <c r="I8" s="315"/>
    </row>
    <row r="9" spans="1:9" ht="15.75" customHeight="1" x14ac:dyDescent="0.25">
      <c r="A9" s="319"/>
      <c r="B9" s="319"/>
      <c r="C9" s="319"/>
      <c r="D9" s="319"/>
      <c r="E9" s="319"/>
      <c r="F9" s="319"/>
      <c r="G9" s="321"/>
      <c r="H9" s="131" t="s">
        <v>389</v>
      </c>
      <c r="I9" s="131" t="s">
        <v>530</v>
      </c>
    </row>
    <row r="10" spans="1:9" ht="15.75" x14ac:dyDescent="0.25">
      <c r="A10" s="123">
        <v>1</v>
      </c>
      <c r="B10" s="123">
        <v>2</v>
      </c>
      <c r="C10" s="123" t="s">
        <v>23</v>
      </c>
      <c r="D10" s="123" t="s">
        <v>24</v>
      </c>
      <c r="E10" s="123" t="s">
        <v>25</v>
      </c>
      <c r="F10" s="123" t="s">
        <v>26</v>
      </c>
      <c r="G10" s="124">
        <v>7</v>
      </c>
      <c r="H10" s="130">
        <v>8</v>
      </c>
      <c r="I10" s="130">
        <v>9</v>
      </c>
    </row>
    <row r="11" spans="1:9" ht="79.5" customHeight="1" x14ac:dyDescent="0.3">
      <c r="A11" s="11" t="s">
        <v>27</v>
      </c>
      <c r="B11" s="269" t="s">
        <v>245</v>
      </c>
      <c r="C11" s="12">
        <v>903</v>
      </c>
      <c r="D11" s="13"/>
      <c r="E11" s="13"/>
      <c r="F11" s="13"/>
      <c r="G11" s="219">
        <f>G12+G41+G45+G54+G73+G77+G94+G111+G102+G115</f>
        <v>80102.599999999991</v>
      </c>
      <c r="H11" s="219">
        <f t="shared" ref="H11:I11" si="0">H12+H41+H45+H54+H73+H77+H94+H111+H102+H115</f>
        <v>55196</v>
      </c>
      <c r="I11" s="219">
        <f t="shared" si="0"/>
        <v>60414.32</v>
      </c>
    </row>
    <row r="12" spans="1:9" ht="20.25" x14ac:dyDescent="0.3">
      <c r="A12" s="14" t="s">
        <v>28</v>
      </c>
      <c r="B12" s="270" t="s">
        <v>29</v>
      </c>
      <c r="C12" s="14" t="s">
        <v>10</v>
      </c>
      <c r="D12" s="14" t="s">
        <v>30</v>
      </c>
      <c r="E12" s="14"/>
      <c r="F12" s="14"/>
      <c r="G12" s="218">
        <f>G13+G23+G26</f>
        <v>25334.3</v>
      </c>
      <c r="H12" s="218">
        <f t="shared" ref="H12:I12" si="1">H13+H23+H26</f>
        <v>27271.15</v>
      </c>
      <c r="I12" s="218">
        <f t="shared" si="1"/>
        <v>29466.2</v>
      </c>
    </row>
    <row r="13" spans="1:9" ht="68.25" customHeight="1" x14ac:dyDescent="0.3">
      <c r="A13" s="158" t="s">
        <v>31</v>
      </c>
      <c r="B13" s="271" t="s">
        <v>32</v>
      </c>
      <c r="C13" s="158" t="s">
        <v>10</v>
      </c>
      <c r="D13" s="158" t="s">
        <v>33</v>
      </c>
      <c r="E13" s="158"/>
      <c r="F13" s="158"/>
      <c r="G13" s="213">
        <f>G14+G16+G20</f>
        <v>8396.0499999999993</v>
      </c>
      <c r="H13" s="213">
        <f t="shared" ref="H13:I13" si="2">H14+H16+H20</f>
        <v>9876.15</v>
      </c>
      <c r="I13" s="213">
        <f t="shared" si="2"/>
        <v>10230.300000000001</v>
      </c>
    </row>
    <row r="14" spans="1:9" ht="18.75" x14ac:dyDescent="0.3">
      <c r="A14" s="158" t="s">
        <v>34</v>
      </c>
      <c r="B14" s="272" t="s">
        <v>35</v>
      </c>
      <c r="C14" s="158" t="s">
        <v>10</v>
      </c>
      <c r="D14" s="158" t="s">
        <v>33</v>
      </c>
      <c r="E14" s="158" t="s">
        <v>36</v>
      </c>
      <c r="F14" s="158"/>
      <c r="G14" s="213">
        <f>G15</f>
        <v>1074</v>
      </c>
      <c r="H14" s="213">
        <f t="shared" ref="H14:I14" si="3">H15</f>
        <v>1115.9000000000001</v>
      </c>
      <c r="I14" s="213">
        <f t="shared" si="3"/>
        <v>1161.5999999999999</v>
      </c>
    </row>
    <row r="15" spans="1:9" ht="95.25" x14ac:dyDescent="0.3">
      <c r="A15" s="158" t="s">
        <v>2</v>
      </c>
      <c r="B15" s="272" t="s">
        <v>37</v>
      </c>
      <c r="C15" s="158" t="s">
        <v>10</v>
      </c>
      <c r="D15" s="158" t="s">
        <v>33</v>
      </c>
      <c r="E15" s="158" t="s">
        <v>36</v>
      </c>
      <c r="F15" s="16" t="s">
        <v>38</v>
      </c>
      <c r="G15" s="210">
        <v>1074</v>
      </c>
      <c r="H15" s="144">
        <v>1115.9000000000001</v>
      </c>
      <c r="I15" s="144">
        <v>1161.5999999999999</v>
      </c>
    </row>
    <row r="16" spans="1:9" ht="79.5" customHeight="1" x14ac:dyDescent="0.3">
      <c r="A16" s="158" t="s">
        <v>3</v>
      </c>
      <c r="B16" s="273" t="s">
        <v>40</v>
      </c>
      <c r="C16" s="16" t="s">
        <v>10</v>
      </c>
      <c r="D16" s="158" t="s">
        <v>33</v>
      </c>
      <c r="E16" s="158" t="s">
        <v>41</v>
      </c>
      <c r="F16" s="158"/>
      <c r="G16" s="213">
        <f>G17+G18+G19</f>
        <v>4721.2</v>
      </c>
      <c r="H16" s="213">
        <f t="shared" ref="H16:I16" si="4">H17+H18+H19</f>
        <v>6057.75</v>
      </c>
      <c r="I16" s="213">
        <f t="shared" si="4"/>
        <v>6255.6</v>
      </c>
    </row>
    <row r="17" spans="1:9" ht="96.75" customHeight="1" x14ac:dyDescent="0.3">
      <c r="A17" s="158" t="s">
        <v>4</v>
      </c>
      <c r="B17" s="272" t="s">
        <v>37</v>
      </c>
      <c r="C17" s="16" t="s">
        <v>10</v>
      </c>
      <c r="D17" s="16" t="s">
        <v>33</v>
      </c>
      <c r="E17" s="158" t="s">
        <v>41</v>
      </c>
      <c r="F17" s="158" t="s">
        <v>38</v>
      </c>
      <c r="G17" s="213">
        <f>4456.7+74.9+22.6+0.6-799.5-241.5</f>
        <v>3513.8</v>
      </c>
      <c r="H17" s="220">
        <f>3588.1+1083.6+0.4</f>
        <v>4672.0999999999995</v>
      </c>
      <c r="I17" s="211">
        <f>3709.1+1120.2</f>
        <v>4829.3</v>
      </c>
    </row>
    <row r="18" spans="1:9" ht="35.25" customHeight="1" x14ac:dyDescent="0.3">
      <c r="A18" s="158" t="s">
        <v>5</v>
      </c>
      <c r="B18" s="274" t="s">
        <v>451</v>
      </c>
      <c r="C18" s="16" t="s">
        <v>10</v>
      </c>
      <c r="D18" s="16" t="s">
        <v>33</v>
      </c>
      <c r="E18" s="158" t="s">
        <v>41</v>
      </c>
      <c r="F18" s="158" t="s">
        <v>45</v>
      </c>
      <c r="G18" s="213">
        <f>22.4+460+37.2+2.1+271.4+144.8+14.4+177.2+169.5+380.25-1.4+40-110.1-380.25-26</f>
        <v>1201.5</v>
      </c>
      <c r="H18" s="220">
        <f>23.3+606.2+41.7+2.2+172+150.2+14.9+183.7+171.2+16.15-0.4-0.5</f>
        <v>1380.65</v>
      </c>
      <c r="I18" s="220">
        <f>24.5+631.8+48.8+2.2+178+156.2+15.5+191.1+173.3-0.1</f>
        <v>1421.3</v>
      </c>
    </row>
    <row r="19" spans="1:9" ht="18.75" x14ac:dyDescent="0.3">
      <c r="A19" s="158" t="s">
        <v>308</v>
      </c>
      <c r="B19" s="275" t="s">
        <v>47</v>
      </c>
      <c r="C19" s="16" t="s">
        <v>10</v>
      </c>
      <c r="D19" s="158" t="s">
        <v>33</v>
      </c>
      <c r="E19" s="158" t="s">
        <v>41</v>
      </c>
      <c r="F19" s="158" t="s">
        <v>48</v>
      </c>
      <c r="G19" s="210">
        <v>5.9</v>
      </c>
      <c r="H19" s="54" t="s">
        <v>25</v>
      </c>
      <c r="I19" s="144">
        <v>5</v>
      </c>
    </row>
    <row r="20" spans="1:9" ht="79.5" customHeight="1" x14ac:dyDescent="0.3">
      <c r="A20" s="158" t="s">
        <v>6</v>
      </c>
      <c r="B20" s="276" t="s">
        <v>51</v>
      </c>
      <c r="C20" s="19" t="s">
        <v>10</v>
      </c>
      <c r="D20" s="16" t="s">
        <v>33</v>
      </c>
      <c r="E20" s="16" t="s">
        <v>52</v>
      </c>
      <c r="F20" s="16"/>
      <c r="G20" s="210">
        <f>G21+G22</f>
        <v>2600.85</v>
      </c>
      <c r="H20" s="210">
        <f t="shared" ref="H20:I20" si="5">H21+H22</f>
        <v>2702.5</v>
      </c>
      <c r="I20" s="210">
        <f t="shared" si="5"/>
        <v>2813.1000000000004</v>
      </c>
    </row>
    <row r="21" spans="1:9" ht="95.25" x14ac:dyDescent="0.3">
      <c r="A21" s="158" t="s">
        <v>7</v>
      </c>
      <c r="B21" s="276" t="s">
        <v>37</v>
      </c>
      <c r="C21" s="19" t="s">
        <v>10</v>
      </c>
      <c r="D21" s="16" t="s">
        <v>33</v>
      </c>
      <c r="E21" s="16" t="s">
        <v>52</v>
      </c>
      <c r="F21" s="16" t="s">
        <v>38</v>
      </c>
      <c r="G21" s="210">
        <v>2395.75</v>
      </c>
      <c r="H21" s="144">
        <v>2489.1999999999998</v>
      </c>
      <c r="I21" s="144">
        <v>2524.3000000000002</v>
      </c>
    </row>
    <row r="22" spans="1:9" ht="35.25" customHeight="1" x14ac:dyDescent="0.3">
      <c r="A22" s="158" t="s">
        <v>460</v>
      </c>
      <c r="B22" s="266" t="s">
        <v>451</v>
      </c>
      <c r="C22" s="19" t="s">
        <v>10</v>
      </c>
      <c r="D22" s="16" t="s">
        <v>33</v>
      </c>
      <c r="E22" s="16" t="s">
        <v>52</v>
      </c>
      <c r="F22" s="16" t="s">
        <v>45</v>
      </c>
      <c r="G22" s="210">
        <f>111.8+93.4-0.1</f>
        <v>205.1</v>
      </c>
      <c r="H22" s="144">
        <f>26.4+186.9</f>
        <v>213.3</v>
      </c>
      <c r="I22" s="144">
        <v>288.8</v>
      </c>
    </row>
    <row r="23" spans="1:9" s="2" customFormat="1" ht="18.75" x14ac:dyDescent="0.3">
      <c r="A23" s="162" t="s">
        <v>39</v>
      </c>
      <c r="B23" s="277" t="s">
        <v>53</v>
      </c>
      <c r="C23" s="20" t="s">
        <v>10</v>
      </c>
      <c r="D23" s="20" t="s">
        <v>54</v>
      </c>
      <c r="E23" s="20"/>
      <c r="F23" s="20"/>
      <c r="G23" s="209">
        <f>G24</f>
        <v>52.8</v>
      </c>
      <c r="H23" s="209">
        <f t="shared" ref="H23:I23" si="6">H24</f>
        <v>58.3</v>
      </c>
      <c r="I23" s="209">
        <f t="shared" si="6"/>
        <v>63.9</v>
      </c>
    </row>
    <row r="24" spans="1:9" ht="18.75" x14ac:dyDescent="0.3">
      <c r="A24" s="158" t="s">
        <v>42</v>
      </c>
      <c r="B24" s="276" t="s">
        <v>55</v>
      </c>
      <c r="C24" s="19" t="s">
        <v>10</v>
      </c>
      <c r="D24" s="16" t="s">
        <v>54</v>
      </c>
      <c r="E24" s="16" t="s">
        <v>56</v>
      </c>
      <c r="F24" s="16"/>
      <c r="G24" s="210">
        <f>G25</f>
        <v>52.8</v>
      </c>
      <c r="H24" s="210">
        <f t="shared" ref="H24:I24" si="7">H25</f>
        <v>58.3</v>
      </c>
      <c r="I24" s="210">
        <f t="shared" si="7"/>
        <v>63.9</v>
      </c>
    </row>
    <row r="25" spans="1:9" ht="18.75" x14ac:dyDescent="0.3">
      <c r="A25" s="158" t="s">
        <v>57</v>
      </c>
      <c r="B25" s="276" t="s">
        <v>47</v>
      </c>
      <c r="C25" s="19" t="s">
        <v>10</v>
      </c>
      <c r="D25" s="16" t="s">
        <v>54</v>
      </c>
      <c r="E25" s="16" t="s">
        <v>56</v>
      </c>
      <c r="F25" s="16" t="s">
        <v>48</v>
      </c>
      <c r="G25" s="210">
        <v>52.8</v>
      </c>
      <c r="H25" s="211">
        <v>58.3</v>
      </c>
      <c r="I25" s="211">
        <v>63.9</v>
      </c>
    </row>
    <row r="26" spans="1:9" ht="32.25" x14ac:dyDescent="0.3">
      <c r="A26" s="13" t="s">
        <v>8</v>
      </c>
      <c r="B26" s="278" t="s">
        <v>58</v>
      </c>
      <c r="C26" s="163" t="s">
        <v>10</v>
      </c>
      <c r="D26" s="13" t="s">
        <v>59</v>
      </c>
      <c r="E26" s="13"/>
      <c r="F26" s="13"/>
      <c r="G26" s="219">
        <f>G27+G35+G31+G33+G39+G29</f>
        <v>16885.45</v>
      </c>
      <c r="H26" s="219">
        <f t="shared" ref="H26:I26" si="8">H27+H35+H31+H33+H39+H29</f>
        <v>17336.7</v>
      </c>
      <c r="I26" s="219">
        <f t="shared" si="8"/>
        <v>19172</v>
      </c>
    </row>
    <row r="27" spans="1:9" ht="36" customHeight="1" x14ac:dyDescent="0.3">
      <c r="A27" s="158" t="s">
        <v>60</v>
      </c>
      <c r="B27" s="279" t="s">
        <v>61</v>
      </c>
      <c r="C27" s="164" t="s">
        <v>10</v>
      </c>
      <c r="D27" s="158" t="s">
        <v>59</v>
      </c>
      <c r="E27" s="16" t="s">
        <v>62</v>
      </c>
      <c r="F27" s="158"/>
      <c r="G27" s="221">
        <f>G28</f>
        <v>403.6</v>
      </c>
      <c r="H27" s="221" t="str">
        <f t="shared" ref="H27:I27" si="9">H28</f>
        <v>411,5</v>
      </c>
      <c r="I27" s="221">
        <f t="shared" si="9"/>
        <v>435.3</v>
      </c>
    </row>
    <row r="28" spans="1:9" ht="32.25" x14ac:dyDescent="0.3">
      <c r="A28" s="16" t="s">
        <v>63</v>
      </c>
      <c r="B28" s="266" t="s">
        <v>44</v>
      </c>
      <c r="C28" s="19" t="s">
        <v>10</v>
      </c>
      <c r="D28" s="16" t="s">
        <v>59</v>
      </c>
      <c r="E28" s="16" t="s">
        <v>62</v>
      </c>
      <c r="F28" s="16" t="s">
        <v>45</v>
      </c>
      <c r="G28" s="210">
        <v>403.6</v>
      </c>
      <c r="H28" s="158" t="s">
        <v>535</v>
      </c>
      <c r="I28" s="144">
        <v>435.3</v>
      </c>
    </row>
    <row r="29" spans="1:9" s="10" customFormat="1" ht="32.25" x14ac:dyDescent="0.3">
      <c r="A29" s="20" t="s">
        <v>64</v>
      </c>
      <c r="B29" s="278" t="s">
        <v>266</v>
      </c>
      <c r="C29" s="25" t="s">
        <v>10</v>
      </c>
      <c r="D29" s="162" t="s">
        <v>59</v>
      </c>
      <c r="E29" s="162" t="s">
        <v>267</v>
      </c>
      <c r="F29" s="162"/>
      <c r="G29" s="231">
        <f>G30</f>
        <v>180</v>
      </c>
      <c r="H29" s="231">
        <f t="shared" ref="H29:I29" si="10">H30</f>
        <v>0</v>
      </c>
      <c r="I29" s="231">
        <f t="shared" si="10"/>
        <v>0</v>
      </c>
    </row>
    <row r="30" spans="1:9" s="10" customFormat="1" ht="32.25" x14ac:dyDescent="0.3">
      <c r="A30" s="16" t="s">
        <v>67</v>
      </c>
      <c r="B30" s="266" t="s">
        <v>44</v>
      </c>
      <c r="C30" s="19" t="s">
        <v>10</v>
      </c>
      <c r="D30" s="158" t="s">
        <v>59</v>
      </c>
      <c r="E30" s="158" t="s">
        <v>267</v>
      </c>
      <c r="F30" s="158" t="s">
        <v>45</v>
      </c>
      <c r="G30" s="213">
        <v>180</v>
      </c>
      <c r="H30" s="144">
        <v>0</v>
      </c>
      <c r="I30" s="144">
        <v>0</v>
      </c>
    </row>
    <row r="31" spans="1:9" ht="46.5" customHeight="1" x14ac:dyDescent="0.3">
      <c r="A31" s="16" t="s">
        <v>68</v>
      </c>
      <c r="B31" s="266" t="s">
        <v>416</v>
      </c>
      <c r="C31" s="19" t="s">
        <v>10</v>
      </c>
      <c r="D31" s="16" t="s">
        <v>59</v>
      </c>
      <c r="E31" s="16" t="s">
        <v>417</v>
      </c>
      <c r="F31" s="16"/>
      <c r="G31" s="210">
        <f>G32</f>
        <v>10</v>
      </c>
      <c r="H31" s="210" t="str">
        <f t="shared" ref="H31:I31" si="11">H32</f>
        <v>11</v>
      </c>
      <c r="I31" s="210">
        <f t="shared" si="11"/>
        <v>12</v>
      </c>
    </row>
    <row r="32" spans="1:9" s="10" customFormat="1" ht="48" x14ac:dyDescent="0.3">
      <c r="A32" s="16" t="s">
        <v>69</v>
      </c>
      <c r="B32" s="266" t="s">
        <v>451</v>
      </c>
      <c r="C32" s="19" t="s">
        <v>10</v>
      </c>
      <c r="D32" s="16" t="s">
        <v>59</v>
      </c>
      <c r="E32" s="16" t="s">
        <v>417</v>
      </c>
      <c r="F32" s="16" t="s">
        <v>45</v>
      </c>
      <c r="G32" s="210">
        <v>10</v>
      </c>
      <c r="H32" s="54" t="s">
        <v>183</v>
      </c>
      <c r="I32" s="144">
        <v>12</v>
      </c>
    </row>
    <row r="33" spans="1:9" ht="81" customHeight="1" x14ac:dyDescent="0.3">
      <c r="A33" s="158" t="s">
        <v>70</v>
      </c>
      <c r="B33" s="266" t="s">
        <v>49</v>
      </c>
      <c r="C33" s="16" t="s">
        <v>10</v>
      </c>
      <c r="D33" s="16" t="s">
        <v>59</v>
      </c>
      <c r="E33" s="16" t="s">
        <v>50</v>
      </c>
      <c r="F33" s="16"/>
      <c r="G33" s="210">
        <f>G34</f>
        <v>7.5</v>
      </c>
      <c r="H33" s="210">
        <f t="shared" ref="H33:I33" si="12">H34</f>
        <v>7.8</v>
      </c>
      <c r="I33" s="210">
        <f t="shared" si="12"/>
        <v>8.1</v>
      </c>
    </row>
    <row r="34" spans="1:9" ht="34.5" customHeight="1" x14ac:dyDescent="0.3">
      <c r="A34" s="158" t="s">
        <v>461</v>
      </c>
      <c r="B34" s="274" t="s">
        <v>451</v>
      </c>
      <c r="C34" s="16" t="s">
        <v>10</v>
      </c>
      <c r="D34" s="16" t="s">
        <v>59</v>
      </c>
      <c r="E34" s="16" t="s">
        <v>50</v>
      </c>
      <c r="F34" s="16" t="s">
        <v>45</v>
      </c>
      <c r="G34" s="210">
        <v>7.5</v>
      </c>
      <c r="H34" s="144">
        <v>7.8</v>
      </c>
      <c r="I34" s="144">
        <v>8.1</v>
      </c>
    </row>
    <row r="35" spans="1:9" ht="80.25" customHeight="1" x14ac:dyDescent="0.3">
      <c r="A35" s="16" t="s">
        <v>518</v>
      </c>
      <c r="B35" s="280" t="s">
        <v>65</v>
      </c>
      <c r="C35" s="19" t="s">
        <v>10</v>
      </c>
      <c r="D35" s="16" t="s">
        <v>59</v>
      </c>
      <c r="E35" s="16" t="s">
        <v>66</v>
      </c>
      <c r="F35" s="16"/>
      <c r="G35" s="210">
        <f>G36+G37+G38</f>
        <v>16284.350000000002</v>
      </c>
      <c r="H35" s="210">
        <f t="shared" ref="H35:I35" si="13">H36+H37+H38</f>
        <v>15254.400000000001</v>
      </c>
      <c r="I35" s="210">
        <f t="shared" si="13"/>
        <v>15284.8</v>
      </c>
    </row>
    <row r="36" spans="1:9" ht="96" customHeight="1" x14ac:dyDescent="0.3">
      <c r="A36" s="16" t="s">
        <v>519</v>
      </c>
      <c r="B36" s="280" t="s">
        <v>37</v>
      </c>
      <c r="C36" s="19" t="s">
        <v>10</v>
      </c>
      <c r="D36" s="16" t="s">
        <v>59</v>
      </c>
      <c r="E36" s="21" t="s">
        <v>66</v>
      </c>
      <c r="F36" s="16" t="s">
        <v>38</v>
      </c>
      <c r="G36" s="210">
        <f>10921.6+3298.3+0.9</f>
        <v>14220.800000000001</v>
      </c>
      <c r="H36" s="144">
        <f>10921.6+3298.3+0.4</f>
        <v>14220.300000000001</v>
      </c>
      <c r="I36" s="144">
        <v>14219.9</v>
      </c>
    </row>
    <row r="37" spans="1:9" ht="35.25" customHeight="1" x14ac:dyDescent="0.3">
      <c r="A37" s="16" t="s">
        <v>557</v>
      </c>
      <c r="B37" s="266" t="s">
        <v>451</v>
      </c>
      <c r="C37" s="19" t="s">
        <v>10</v>
      </c>
      <c r="D37" s="16" t="s">
        <v>59</v>
      </c>
      <c r="E37" s="16" t="s">
        <v>66</v>
      </c>
      <c r="F37" s="16" t="s">
        <v>45</v>
      </c>
      <c r="G37" s="210">
        <f>344.2+126.7+531.5+155.2+28+342.7+300+180.25+24+200-170</f>
        <v>2062.5500000000002</v>
      </c>
      <c r="H37" s="220">
        <f>346.9+135.1+551.1</f>
        <v>1033.0999999999999</v>
      </c>
      <c r="I37" s="222">
        <f>350+140.8+573.1</f>
        <v>1063.9000000000001</v>
      </c>
    </row>
    <row r="38" spans="1:9" ht="21.75" customHeight="1" x14ac:dyDescent="0.3">
      <c r="A38" s="16" t="s">
        <v>558</v>
      </c>
      <c r="B38" s="275" t="s">
        <v>47</v>
      </c>
      <c r="C38" s="19" t="s">
        <v>10</v>
      </c>
      <c r="D38" s="16" t="s">
        <v>59</v>
      </c>
      <c r="E38" s="16" t="s">
        <v>66</v>
      </c>
      <c r="F38" s="16" t="s">
        <v>48</v>
      </c>
      <c r="G38" s="210">
        <v>1</v>
      </c>
      <c r="H38" s="211">
        <v>1</v>
      </c>
      <c r="I38" s="158" t="s">
        <v>534</v>
      </c>
    </row>
    <row r="39" spans="1:9" ht="18.75" x14ac:dyDescent="0.3">
      <c r="A39" s="20" t="s">
        <v>559</v>
      </c>
      <c r="B39" s="281" t="s">
        <v>515</v>
      </c>
      <c r="C39" s="25" t="s">
        <v>10</v>
      </c>
      <c r="D39" s="20" t="s">
        <v>59</v>
      </c>
      <c r="E39" s="26" t="s">
        <v>393</v>
      </c>
      <c r="F39" s="20"/>
      <c r="G39" s="209">
        <f>G40</f>
        <v>0</v>
      </c>
      <c r="H39" s="223">
        <f>H40</f>
        <v>1652</v>
      </c>
      <c r="I39" s="223">
        <f t="shared" ref="I39" si="14">I40</f>
        <v>3431.8</v>
      </c>
    </row>
    <row r="40" spans="1:9" ht="21.75" customHeight="1" x14ac:dyDescent="0.3">
      <c r="A40" s="16" t="s">
        <v>560</v>
      </c>
      <c r="B40" s="266" t="s">
        <v>47</v>
      </c>
      <c r="C40" s="19" t="s">
        <v>10</v>
      </c>
      <c r="D40" s="16" t="s">
        <v>59</v>
      </c>
      <c r="E40" s="21" t="s">
        <v>393</v>
      </c>
      <c r="F40" s="16" t="s">
        <v>48</v>
      </c>
      <c r="G40" s="210">
        <v>0</v>
      </c>
      <c r="H40" s="165">
        <v>1652</v>
      </c>
      <c r="I40" s="211">
        <v>3431.8</v>
      </c>
    </row>
    <row r="41" spans="1:9" ht="37.5" customHeight="1" x14ac:dyDescent="0.3">
      <c r="A41" s="14" t="s">
        <v>14</v>
      </c>
      <c r="B41" s="277" t="s">
        <v>73</v>
      </c>
      <c r="C41" s="23" t="s">
        <v>10</v>
      </c>
      <c r="D41" s="14" t="s">
        <v>74</v>
      </c>
      <c r="E41" s="14"/>
      <c r="F41" s="14"/>
      <c r="G41" s="218">
        <f>G42</f>
        <v>20</v>
      </c>
      <c r="H41" s="218">
        <f t="shared" ref="H41:I43" si="15">H42</f>
        <v>21</v>
      </c>
      <c r="I41" s="218" t="str">
        <f t="shared" si="15"/>
        <v>22</v>
      </c>
    </row>
    <row r="42" spans="1:9" ht="48" x14ac:dyDescent="0.3">
      <c r="A42" s="16" t="s">
        <v>12</v>
      </c>
      <c r="B42" s="271" t="s">
        <v>75</v>
      </c>
      <c r="C42" s="19" t="s">
        <v>10</v>
      </c>
      <c r="D42" s="16" t="s">
        <v>76</v>
      </c>
      <c r="E42" s="16"/>
      <c r="F42" s="16"/>
      <c r="G42" s="210">
        <f>G43</f>
        <v>20</v>
      </c>
      <c r="H42" s="210">
        <f t="shared" si="15"/>
        <v>21</v>
      </c>
      <c r="I42" s="210" t="str">
        <f t="shared" si="15"/>
        <v>22</v>
      </c>
    </row>
    <row r="43" spans="1:9" ht="147" customHeight="1" x14ac:dyDescent="0.3">
      <c r="A43" s="16" t="s">
        <v>15</v>
      </c>
      <c r="B43" s="282" t="s">
        <v>77</v>
      </c>
      <c r="C43" s="19" t="s">
        <v>10</v>
      </c>
      <c r="D43" s="16" t="s">
        <v>76</v>
      </c>
      <c r="E43" s="16" t="s">
        <v>78</v>
      </c>
      <c r="F43" s="16"/>
      <c r="G43" s="210">
        <f>G44</f>
        <v>20</v>
      </c>
      <c r="H43" s="210">
        <f t="shared" si="15"/>
        <v>21</v>
      </c>
      <c r="I43" s="210" t="str">
        <f t="shared" si="15"/>
        <v>22</v>
      </c>
    </row>
    <row r="44" spans="1:9" ht="32.25" x14ac:dyDescent="0.3">
      <c r="A44" s="16" t="s">
        <v>13</v>
      </c>
      <c r="B44" s="266" t="s">
        <v>44</v>
      </c>
      <c r="C44" s="19" t="s">
        <v>10</v>
      </c>
      <c r="D44" s="16" t="s">
        <v>76</v>
      </c>
      <c r="E44" s="16" t="s">
        <v>78</v>
      </c>
      <c r="F44" s="16" t="s">
        <v>45</v>
      </c>
      <c r="G44" s="210">
        <v>20</v>
      </c>
      <c r="H44" s="211">
        <v>21</v>
      </c>
      <c r="I44" s="165" t="s">
        <v>391</v>
      </c>
    </row>
    <row r="45" spans="1:9" ht="20.25" x14ac:dyDescent="0.3">
      <c r="A45" s="14" t="s">
        <v>23</v>
      </c>
      <c r="B45" s="277" t="s">
        <v>79</v>
      </c>
      <c r="C45" s="23" t="s">
        <v>10</v>
      </c>
      <c r="D45" s="14" t="s">
        <v>80</v>
      </c>
      <c r="E45" s="14"/>
      <c r="F45" s="14"/>
      <c r="G45" s="218">
        <f>G49+G46</f>
        <v>169.8</v>
      </c>
      <c r="H45" s="218">
        <f t="shared" ref="H45:I45" si="16">H49+H46</f>
        <v>179.5</v>
      </c>
      <c r="I45" s="218">
        <f t="shared" si="16"/>
        <v>189.1</v>
      </c>
    </row>
    <row r="46" spans="1:9" ht="18.75" x14ac:dyDescent="0.3">
      <c r="A46" s="16" t="s">
        <v>464</v>
      </c>
      <c r="B46" s="283" t="s">
        <v>81</v>
      </c>
      <c r="C46" s="19" t="s">
        <v>10</v>
      </c>
      <c r="D46" s="16" t="s">
        <v>520</v>
      </c>
      <c r="E46" s="21"/>
      <c r="F46" s="16"/>
      <c r="G46" s="210">
        <f>G47</f>
        <v>159.80000000000001</v>
      </c>
      <c r="H46" s="210">
        <f t="shared" ref="H46:I47" si="17">H47</f>
        <v>168.9</v>
      </c>
      <c r="I46" s="210">
        <f t="shared" si="17"/>
        <v>177.9</v>
      </c>
    </row>
    <row r="47" spans="1:9" ht="63.75" x14ac:dyDescent="0.3">
      <c r="A47" s="16" t="s">
        <v>301</v>
      </c>
      <c r="B47" s="284" t="s">
        <v>529</v>
      </c>
      <c r="C47" s="19" t="s">
        <v>10</v>
      </c>
      <c r="D47" s="16" t="s">
        <v>520</v>
      </c>
      <c r="E47" s="21" t="s">
        <v>521</v>
      </c>
      <c r="F47" s="16"/>
      <c r="G47" s="210">
        <f>G48</f>
        <v>159.80000000000001</v>
      </c>
      <c r="H47" s="210">
        <f t="shared" si="17"/>
        <v>168.9</v>
      </c>
      <c r="I47" s="210">
        <f t="shared" si="17"/>
        <v>177.9</v>
      </c>
    </row>
    <row r="48" spans="1:9" ht="37.5" customHeight="1" x14ac:dyDescent="0.3">
      <c r="A48" s="16" t="s">
        <v>278</v>
      </c>
      <c r="B48" s="266" t="s">
        <v>451</v>
      </c>
      <c r="C48" s="19" t="s">
        <v>10</v>
      </c>
      <c r="D48" s="16" t="s">
        <v>520</v>
      </c>
      <c r="E48" s="21" t="s">
        <v>521</v>
      </c>
      <c r="F48" s="16" t="s">
        <v>45</v>
      </c>
      <c r="G48" s="210">
        <v>159.80000000000001</v>
      </c>
      <c r="H48" s="213">
        <v>168.9</v>
      </c>
      <c r="I48" s="215">
        <v>177.9</v>
      </c>
    </row>
    <row r="49" spans="1:9" ht="18.75" x14ac:dyDescent="0.3">
      <c r="A49" s="16" t="s">
        <v>191</v>
      </c>
      <c r="B49" s="283" t="s">
        <v>81</v>
      </c>
      <c r="C49" s="19" t="s">
        <v>10</v>
      </c>
      <c r="D49" s="16" t="s">
        <v>82</v>
      </c>
      <c r="E49" s="21"/>
      <c r="F49" s="16"/>
      <c r="G49" s="210">
        <f>G50+G52</f>
        <v>10</v>
      </c>
      <c r="H49" s="210">
        <f t="shared" ref="H49:I49" si="18">H50+H52</f>
        <v>10.6</v>
      </c>
      <c r="I49" s="210">
        <f t="shared" si="18"/>
        <v>11.2</v>
      </c>
    </row>
    <row r="50" spans="1:9" ht="60" customHeight="1" x14ac:dyDescent="0.3">
      <c r="A50" s="16" t="s">
        <v>193</v>
      </c>
      <c r="B50" s="284" t="s">
        <v>275</v>
      </c>
      <c r="C50" s="19" t="s">
        <v>10</v>
      </c>
      <c r="D50" s="16" t="s">
        <v>82</v>
      </c>
      <c r="E50" s="21" t="s">
        <v>83</v>
      </c>
      <c r="F50" s="16"/>
      <c r="G50" s="210">
        <f>G51</f>
        <v>5</v>
      </c>
      <c r="H50" s="210">
        <f t="shared" ref="H50:I52" si="19">H51</f>
        <v>5.3</v>
      </c>
      <c r="I50" s="210">
        <f t="shared" si="19"/>
        <v>5.6</v>
      </c>
    </row>
    <row r="51" spans="1:9" ht="36.75" customHeight="1" x14ac:dyDescent="0.3">
      <c r="A51" s="16" t="s">
        <v>411</v>
      </c>
      <c r="B51" s="266" t="s">
        <v>451</v>
      </c>
      <c r="C51" s="19" t="s">
        <v>10</v>
      </c>
      <c r="D51" s="16" t="s">
        <v>82</v>
      </c>
      <c r="E51" s="21" t="s">
        <v>83</v>
      </c>
      <c r="F51" s="16" t="s">
        <v>45</v>
      </c>
      <c r="G51" s="210">
        <v>5</v>
      </c>
      <c r="H51" s="213">
        <v>5.3</v>
      </c>
      <c r="I51" s="215">
        <v>5.6</v>
      </c>
    </row>
    <row r="52" spans="1:9" ht="65.25" customHeight="1" x14ac:dyDescent="0.3">
      <c r="A52" s="16" t="s">
        <v>419</v>
      </c>
      <c r="B52" s="284" t="s">
        <v>418</v>
      </c>
      <c r="C52" s="19" t="s">
        <v>10</v>
      </c>
      <c r="D52" s="16" t="s">
        <v>82</v>
      </c>
      <c r="E52" s="21" t="s">
        <v>392</v>
      </c>
      <c r="F52" s="16"/>
      <c r="G52" s="210">
        <f>G53</f>
        <v>5</v>
      </c>
      <c r="H52" s="216">
        <f t="shared" si="19"/>
        <v>5.3</v>
      </c>
      <c r="I52" s="210">
        <f t="shared" si="19"/>
        <v>5.6</v>
      </c>
    </row>
    <row r="53" spans="1:9" ht="39" customHeight="1" x14ac:dyDescent="0.3">
      <c r="A53" s="16" t="s">
        <v>495</v>
      </c>
      <c r="B53" s="266" t="s">
        <v>451</v>
      </c>
      <c r="C53" s="19" t="s">
        <v>10</v>
      </c>
      <c r="D53" s="16" t="s">
        <v>82</v>
      </c>
      <c r="E53" s="21" t="s">
        <v>392</v>
      </c>
      <c r="F53" s="16" t="s">
        <v>45</v>
      </c>
      <c r="G53" s="210">
        <v>5</v>
      </c>
      <c r="H53" s="217">
        <v>5.3</v>
      </c>
      <c r="I53" s="211">
        <v>5.6</v>
      </c>
    </row>
    <row r="54" spans="1:9" ht="32.25" x14ac:dyDescent="0.3">
      <c r="A54" s="14" t="s">
        <v>24</v>
      </c>
      <c r="B54" s="277" t="s">
        <v>84</v>
      </c>
      <c r="C54" s="23" t="s">
        <v>10</v>
      </c>
      <c r="D54" s="14" t="s">
        <v>85</v>
      </c>
      <c r="E54" s="24"/>
      <c r="F54" s="14"/>
      <c r="G54" s="218">
        <f>G55</f>
        <v>34509</v>
      </c>
      <c r="H54" s="218">
        <f t="shared" ref="H54:I54" si="20">H55</f>
        <v>8258.6</v>
      </c>
      <c r="I54" s="218">
        <f t="shared" si="20"/>
        <v>11280.02</v>
      </c>
    </row>
    <row r="55" spans="1:9" ht="18.75" x14ac:dyDescent="0.3">
      <c r="A55" s="16" t="s">
        <v>302</v>
      </c>
      <c r="B55" s="276" t="s">
        <v>86</v>
      </c>
      <c r="C55" s="19" t="s">
        <v>10</v>
      </c>
      <c r="D55" s="16" t="s">
        <v>87</v>
      </c>
      <c r="E55" s="21"/>
      <c r="F55" s="16"/>
      <c r="G55" s="210">
        <f>G56+G58+G60+G62+G64+G66+G68+G70+G71</f>
        <v>34509</v>
      </c>
      <c r="H55" s="210">
        <f t="shared" ref="H55:I55" si="21">H56+H58+H60+H62+H64+H66+H68+H70+H71</f>
        <v>8258.6</v>
      </c>
      <c r="I55" s="210">
        <f t="shared" si="21"/>
        <v>11280.02</v>
      </c>
    </row>
    <row r="56" spans="1:9" ht="32.25" x14ac:dyDescent="0.3">
      <c r="A56" s="20" t="s">
        <v>303</v>
      </c>
      <c r="B56" s="285" t="s">
        <v>88</v>
      </c>
      <c r="C56" s="25" t="s">
        <v>10</v>
      </c>
      <c r="D56" s="20" t="s">
        <v>87</v>
      </c>
      <c r="E56" s="26" t="s">
        <v>89</v>
      </c>
      <c r="F56" s="20"/>
      <c r="G56" s="209">
        <f>G57</f>
        <v>209.7</v>
      </c>
      <c r="H56" s="209">
        <f t="shared" ref="H56:I56" si="22">H57</f>
        <v>340.7</v>
      </c>
      <c r="I56" s="209">
        <f t="shared" si="22"/>
        <v>334.3</v>
      </c>
    </row>
    <row r="57" spans="1:9" ht="33.75" customHeight="1" x14ac:dyDescent="0.3">
      <c r="A57" s="16" t="s">
        <v>279</v>
      </c>
      <c r="B57" s="266" t="s">
        <v>451</v>
      </c>
      <c r="C57" s="16" t="s">
        <v>10</v>
      </c>
      <c r="D57" s="16" t="s">
        <v>87</v>
      </c>
      <c r="E57" s="21" t="s">
        <v>89</v>
      </c>
      <c r="F57" s="16" t="s">
        <v>45</v>
      </c>
      <c r="G57" s="210">
        <f>209.7</f>
        <v>209.7</v>
      </c>
      <c r="H57" s="144">
        <v>340.7</v>
      </c>
      <c r="I57" s="144">
        <v>334.3</v>
      </c>
    </row>
    <row r="58" spans="1:9" ht="95.25" x14ac:dyDescent="0.3">
      <c r="A58" s="20" t="s">
        <v>269</v>
      </c>
      <c r="B58" s="285" t="s">
        <v>90</v>
      </c>
      <c r="C58" s="20" t="s">
        <v>10</v>
      </c>
      <c r="D58" s="20" t="s">
        <v>87</v>
      </c>
      <c r="E58" s="26" t="s">
        <v>239</v>
      </c>
      <c r="F58" s="20"/>
      <c r="G58" s="209">
        <f>G59</f>
        <v>162.30000000000001</v>
      </c>
      <c r="H58" s="209">
        <f t="shared" ref="H58:I58" si="23">H59</f>
        <v>108.4</v>
      </c>
      <c r="I58" s="209">
        <f t="shared" si="23"/>
        <v>113.8</v>
      </c>
    </row>
    <row r="59" spans="1:9" ht="36.75" customHeight="1" x14ac:dyDescent="0.3">
      <c r="A59" s="16" t="s">
        <v>280</v>
      </c>
      <c r="B59" s="266" t="s">
        <v>451</v>
      </c>
      <c r="C59" s="16" t="s">
        <v>10</v>
      </c>
      <c r="D59" s="16" t="s">
        <v>87</v>
      </c>
      <c r="E59" s="21" t="s">
        <v>239</v>
      </c>
      <c r="F59" s="16" t="s">
        <v>45</v>
      </c>
      <c r="G59" s="210">
        <v>162.30000000000001</v>
      </c>
      <c r="H59" s="144">
        <v>108.4</v>
      </c>
      <c r="I59" s="144">
        <v>113.8</v>
      </c>
    </row>
    <row r="60" spans="1:9" s="2" customFormat="1" ht="34.5" customHeight="1" x14ac:dyDescent="0.3">
      <c r="A60" s="20" t="s">
        <v>270</v>
      </c>
      <c r="B60" s="285" t="s">
        <v>91</v>
      </c>
      <c r="C60" s="25" t="s">
        <v>10</v>
      </c>
      <c r="D60" s="20" t="s">
        <v>87</v>
      </c>
      <c r="E60" s="26" t="s">
        <v>92</v>
      </c>
      <c r="F60" s="20"/>
      <c r="G60" s="209">
        <f>G61</f>
        <v>2791.9</v>
      </c>
      <c r="H60" s="209">
        <f t="shared" ref="H60:I60" si="24">H61</f>
        <v>2826.6000000000004</v>
      </c>
      <c r="I60" s="209">
        <f t="shared" si="24"/>
        <v>2967.92</v>
      </c>
    </row>
    <row r="61" spans="1:9" ht="33.75" customHeight="1" x14ac:dyDescent="0.3">
      <c r="A61" s="16" t="s">
        <v>281</v>
      </c>
      <c r="B61" s="266" t="s">
        <v>451</v>
      </c>
      <c r="C61" s="19" t="s">
        <v>10</v>
      </c>
      <c r="D61" s="16" t="s">
        <v>87</v>
      </c>
      <c r="E61" s="21" t="s">
        <v>92</v>
      </c>
      <c r="F61" s="16" t="s">
        <v>45</v>
      </c>
      <c r="G61" s="210">
        <f>595+929+1167.9+100</f>
        <v>2791.9</v>
      </c>
      <c r="H61" s="165">
        <f>1226.19+975.45+624.86+0.1</f>
        <v>2826.6000000000004</v>
      </c>
      <c r="I61" s="165">
        <f>1287.5+1024.22+656.1+0.1</f>
        <v>2967.92</v>
      </c>
    </row>
    <row r="62" spans="1:9" s="2" customFormat="1" ht="32.25" x14ac:dyDescent="0.3">
      <c r="A62" s="20" t="s">
        <v>271</v>
      </c>
      <c r="B62" s="285" t="s">
        <v>93</v>
      </c>
      <c r="C62" s="25" t="s">
        <v>10</v>
      </c>
      <c r="D62" s="20" t="s">
        <v>87</v>
      </c>
      <c r="E62" s="26" t="s">
        <v>240</v>
      </c>
      <c r="F62" s="20"/>
      <c r="G62" s="209">
        <f>G63</f>
        <v>313.89999999999998</v>
      </c>
      <c r="H62" s="209">
        <f t="shared" ref="H62:I62" si="25">H63</f>
        <v>95.2</v>
      </c>
      <c r="I62" s="209">
        <f t="shared" si="25"/>
        <v>100</v>
      </c>
    </row>
    <row r="63" spans="1:9" ht="48" x14ac:dyDescent="0.3">
      <c r="A63" s="16" t="s">
        <v>282</v>
      </c>
      <c r="B63" s="266" t="s">
        <v>451</v>
      </c>
      <c r="C63" s="19" t="s">
        <v>10</v>
      </c>
      <c r="D63" s="16" t="s">
        <v>87</v>
      </c>
      <c r="E63" s="21" t="s">
        <v>240</v>
      </c>
      <c r="F63" s="16" t="s">
        <v>45</v>
      </c>
      <c r="G63" s="210">
        <v>313.89999999999998</v>
      </c>
      <c r="H63" s="144">
        <v>95.2</v>
      </c>
      <c r="I63" s="211">
        <v>100</v>
      </c>
    </row>
    <row r="64" spans="1:9" s="2" customFormat="1" ht="80.25" customHeight="1" x14ac:dyDescent="0.3">
      <c r="A64" s="20" t="s">
        <v>272</v>
      </c>
      <c r="B64" s="285" t="s">
        <v>94</v>
      </c>
      <c r="C64" s="25" t="s">
        <v>10</v>
      </c>
      <c r="D64" s="20" t="s">
        <v>87</v>
      </c>
      <c r="E64" s="26" t="s">
        <v>241</v>
      </c>
      <c r="F64" s="20"/>
      <c r="G64" s="209">
        <f>G65</f>
        <v>974.9</v>
      </c>
      <c r="H64" s="209">
        <f t="shared" ref="H64:I64" si="26">H65</f>
        <v>813.6</v>
      </c>
      <c r="I64" s="209">
        <f t="shared" si="26"/>
        <v>854.3</v>
      </c>
    </row>
    <row r="65" spans="1:9" ht="33.75" customHeight="1" x14ac:dyDescent="0.3">
      <c r="A65" s="16" t="s">
        <v>283</v>
      </c>
      <c r="B65" s="266" t="s">
        <v>451</v>
      </c>
      <c r="C65" s="19" t="s">
        <v>10</v>
      </c>
      <c r="D65" s="16" t="s">
        <v>87</v>
      </c>
      <c r="E65" s="21" t="s">
        <v>241</v>
      </c>
      <c r="F65" s="16" t="s">
        <v>45</v>
      </c>
      <c r="G65" s="210">
        <v>974.9</v>
      </c>
      <c r="H65" s="144">
        <v>813.6</v>
      </c>
      <c r="I65" s="144">
        <v>854.3</v>
      </c>
    </row>
    <row r="66" spans="1:9" ht="52.5" customHeight="1" x14ac:dyDescent="0.3">
      <c r="A66" s="20" t="s">
        <v>273</v>
      </c>
      <c r="B66" s="285" t="s">
        <v>95</v>
      </c>
      <c r="C66" s="25" t="s">
        <v>10</v>
      </c>
      <c r="D66" s="20" t="s">
        <v>87</v>
      </c>
      <c r="E66" s="26" t="s">
        <v>242</v>
      </c>
      <c r="F66" s="20"/>
      <c r="G66" s="209">
        <f>G67</f>
        <v>605.6</v>
      </c>
      <c r="H66" s="209" t="str">
        <f t="shared" ref="H66:I66" si="27">H67</f>
        <v>635,9</v>
      </c>
      <c r="I66" s="209">
        <f t="shared" si="27"/>
        <v>667.7</v>
      </c>
    </row>
    <row r="67" spans="1:9" ht="48" x14ac:dyDescent="0.3">
      <c r="A67" s="16" t="s">
        <v>284</v>
      </c>
      <c r="B67" s="266" t="s">
        <v>451</v>
      </c>
      <c r="C67" s="19" t="s">
        <v>10</v>
      </c>
      <c r="D67" s="16" t="s">
        <v>87</v>
      </c>
      <c r="E67" s="21" t="s">
        <v>242</v>
      </c>
      <c r="F67" s="16" t="s">
        <v>45</v>
      </c>
      <c r="G67" s="210">
        <v>605.6</v>
      </c>
      <c r="H67" s="54" t="s">
        <v>536</v>
      </c>
      <c r="I67" s="144">
        <v>667.7</v>
      </c>
    </row>
    <row r="68" spans="1:9" ht="61.5" customHeight="1" x14ac:dyDescent="0.3">
      <c r="A68" s="20" t="s">
        <v>274</v>
      </c>
      <c r="B68" s="277" t="s">
        <v>96</v>
      </c>
      <c r="C68" s="25" t="s">
        <v>10</v>
      </c>
      <c r="D68" s="20" t="s">
        <v>87</v>
      </c>
      <c r="E68" s="26" t="s">
        <v>97</v>
      </c>
      <c r="F68" s="20"/>
      <c r="G68" s="209">
        <f>G69</f>
        <v>9440.7000000000007</v>
      </c>
      <c r="H68" s="209">
        <f t="shared" ref="H68:I68" si="28">H69</f>
        <v>3427.7000000000007</v>
      </c>
      <c r="I68" s="209">
        <f t="shared" si="28"/>
        <v>6231.0000000000018</v>
      </c>
    </row>
    <row r="69" spans="1:9" ht="36.75" customHeight="1" x14ac:dyDescent="0.3">
      <c r="A69" s="16" t="s">
        <v>285</v>
      </c>
      <c r="B69" s="266" t="s">
        <v>451</v>
      </c>
      <c r="C69" s="19" t="s">
        <v>10</v>
      </c>
      <c r="D69" s="16" t="s">
        <v>87</v>
      </c>
      <c r="E69" s="21" t="s">
        <v>97</v>
      </c>
      <c r="F69" s="16" t="s">
        <v>45</v>
      </c>
      <c r="G69" s="210">
        <f>4644.7+100+1650+80+2526+120+320</f>
        <v>9440.7000000000007</v>
      </c>
      <c r="H69" s="214">
        <f>13579.5-10151.8</f>
        <v>3427.7000000000007</v>
      </c>
      <c r="I69" s="214">
        <f>16465.9-10234.9</f>
        <v>6231.0000000000018</v>
      </c>
    </row>
    <row r="70" spans="1:9" ht="18.75" x14ac:dyDescent="0.3">
      <c r="A70" s="20" t="s">
        <v>538</v>
      </c>
      <c r="B70" s="285" t="s">
        <v>395</v>
      </c>
      <c r="C70" s="25" t="s">
        <v>10</v>
      </c>
      <c r="D70" s="20" t="s">
        <v>87</v>
      </c>
      <c r="E70" s="26" t="s">
        <v>394</v>
      </c>
      <c r="F70" s="16" t="s">
        <v>45</v>
      </c>
      <c r="G70" s="209">
        <v>20000</v>
      </c>
      <c r="H70" s="209">
        <v>0</v>
      </c>
      <c r="I70" s="224">
        <v>0</v>
      </c>
    </row>
    <row r="71" spans="1:9" ht="127.5" customHeight="1" x14ac:dyDescent="0.3">
      <c r="A71" s="20" t="s">
        <v>551</v>
      </c>
      <c r="B71" s="258" t="s">
        <v>576</v>
      </c>
      <c r="C71" s="25" t="s">
        <v>10</v>
      </c>
      <c r="D71" s="20" t="s">
        <v>87</v>
      </c>
      <c r="E71" s="26" t="s">
        <v>541</v>
      </c>
      <c r="F71" s="16"/>
      <c r="G71" s="209">
        <f>G72</f>
        <v>10</v>
      </c>
      <c r="H71" s="209" t="str">
        <f t="shared" ref="H71:I71" si="29">H72</f>
        <v>10,5</v>
      </c>
      <c r="I71" s="209">
        <f t="shared" si="29"/>
        <v>11</v>
      </c>
    </row>
    <row r="72" spans="1:9" ht="34.5" customHeight="1" x14ac:dyDescent="0.3">
      <c r="A72" s="16" t="s">
        <v>552</v>
      </c>
      <c r="B72" s="266" t="s">
        <v>451</v>
      </c>
      <c r="C72" s="19" t="s">
        <v>10</v>
      </c>
      <c r="D72" s="16" t="s">
        <v>87</v>
      </c>
      <c r="E72" s="21" t="s">
        <v>541</v>
      </c>
      <c r="F72" s="16" t="s">
        <v>45</v>
      </c>
      <c r="G72" s="209">
        <v>10</v>
      </c>
      <c r="H72" s="225" t="s">
        <v>540</v>
      </c>
      <c r="I72" s="226">
        <v>11</v>
      </c>
    </row>
    <row r="73" spans="1:9" ht="20.25" x14ac:dyDescent="0.3">
      <c r="A73" s="14" t="s">
        <v>25</v>
      </c>
      <c r="B73" s="285" t="s">
        <v>98</v>
      </c>
      <c r="C73" s="23" t="s">
        <v>10</v>
      </c>
      <c r="D73" s="14" t="s">
        <v>99</v>
      </c>
      <c r="E73" s="24"/>
      <c r="F73" s="14"/>
      <c r="G73" s="218">
        <f>G75</f>
        <v>28.3</v>
      </c>
      <c r="H73" s="218">
        <f t="shared" ref="H73:I73" si="30">H75</f>
        <v>29.7</v>
      </c>
      <c r="I73" s="218">
        <f t="shared" si="30"/>
        <v>31.1</v>
      </c>
    </row>
    <row r="74" spans="1:9" ht="18.75" customHeight="1" x14ac:dyDescent="0.3">
      <c r="A74" s="16" t="s">
        <v>200</v>
      </c>
      <c r="B74" s="266" t="s">
        <v>100</v>
      </c>
      <c r="C74" s="19" t="s">
        <v>10</v>
      </c>
      <c r="D74" s="16" t="s">
        <v>101</v>
      </c>
      <c r="E74" s="21"/>
      <c r="F74" s="16"/>
      <c r="G74" s="210">
        <f>G75</f>
        <v>28.3</v>
      </c>
      <c r="H74" s="210">
        <f t="shared" ref="H74:I75" si="31">H75</f>
        <v>29.7</v>
      </c>
      <c r="I74" s="210">
        <f t="shared" si="31"/>
        <v>31.1</v>
      </c>
    </row>
    <row r="75" spans="1:9" ht="65.25" customHeight="1" x14ac:dyDescent="0.3">
      <c r="A75" s="16" t="s">
        <v>201</v>
      </c>
      <c r="B75" s="266" t="s">
        <v>102</v>
      </c>
      <c r="C75" s="19" t="s">
        <v>10</v>
      </c>
      <c r="D75" s="16" t="s">
        <v>101</v>
      </c>
      <c r="E75" s="21" t="s">
        <v>103</v>
      </c>
      <c r="F75" s="16"/>
      <c r="G75" s="210">
        <f>G76</f>
        <v>28.3</v>
      </c>
      <c r="H75" s="210">
        <f t="shared" si="31"/>
        <v>29.7</v>
      </c>
      <c r="I75" s="210">
        <f t="shared" si="31"/>
        <v>31.1</v>
      </c>
    </row>
    <row r="76" spans="1:9" ht="34.5" customHeight="1" x14ac:dyDescent="0.3">
      <c r="A76" s="16" t="s">
        <v>286</v>
      </c>
      <c r="B76" s="266" t="s">
        <v>451</v>
      </c>
      <c r="C76" s="19" t="s">
        <v>10</v>
      </c>
      <c r="D76" s="16" t="s">
        <v>101</v>
      </c>
      <c r="E76" s="21" t="s">
        <v>103</v>
      </c>
      <c r="F76" s="16" t="s">
        <v>45</v>
      </c>
      <c r="G76" s="210">
        <v>28.3</v>
      </c>
      <c r="H76" s="227">
        <v>29.7</v>
      </c>
      <c r="I76" s="228">
        <v>31.1</v>
      </c>
    </row>
    <row r="77" spans="1:9" ht="20.25" x14ac:dyDescent="0.3">
      <c r="A77" s="14" t="s">
        <v>26</v>
      </c>
      <c r="B77" s="285" t="s">
        <v>104</v>
      </c>
      <c r="C77" s="23" t="s">
        <v>10</v>
      </c>
      <c r="D77" s="14" t="s">
        <v>105</v>
      </c>
      <c r="E77" s="14"/>
      <c r="F77" s="14"/>
      <c r="G77" s="218">
        <f>G78+G81</f>
        <v>412.2</v>
      </c>
      <c r="H77" s="218">
        <f t="shared" ref="H77:I77" si="32">H78+H81</f>
        <v>324.89999999999998</v>
      </c>
      <c r="I77" s="218">
        <f t="shared" si="32"/>
        <v>343</v>
      </c>
    </row>
    <row r="78" spans="1:9" ht="47.25" x14ac:dyDescent="0.3">
      <c r="A78" s="20" t="s">
        <v>304</v>
      </c>
      <c r="B78" s="286" t="s">
        <v>106</v>
      </c>
      <c r="C78" s="25" t="s">
        <v>10</v>
      </c>
      <c r="D78" s="20" t="s">
        <v>107</v>
      </c>
      <c r="E78" s="20"/>
      <c r="F78" s="20"/>
      <c r="G78" s="209">
        <f>G79</f>
        <v>231</v>
      </c>
      <c r="H78" s="209" t="str">
        <f t="shared" ref="H78:I79" si="33">H79</f>
        <v>132,2</v>
      </c>
      <c r="I78" s="209" t="str">
        <f t="shared" si="33"/>
        <v>138,5</v>
      </c>
    </row>
    <row r="79" spans="1:9" ht="18.75" x14ac:dyDescent="0.3">
      <c r="A79" s="16" t="s">
        <v>305</v>
      </c>
      <c r="B79" s="266" t="s">
        <v>108</v>
      </c>
      <c r="C79" s="19" t="s">
        <v>10</v>
      </c>
      <c r="D79" s="16" t="s">
        <v>107</v>
      </c>
      <c r="E79" s="16" t="s">
        <v>109</v>
      </c>
      <c r="F79" s="16"/>
      <c r="G79" s="210">
        <f>G80</f>
        <v>231</v>
      </c>
      <c r="H79" s="210" t="str">
        <f t="shared" si="33"/>
        <v>132,2</v>
      </c>
      <c r="I79" s="210" t="str">
        <f t="shared" si="33"/>
        <v>138,5</v>
      </c>
    </row>
    <row r="80" spans="1:9" ht="39" customHeight="1" x14ac:dyDescent="0.3">
      <c r="A80" s="16" t="s">
        <v>287</v>
      </c>
      <c r="B80" s="266" t="s">
        <v>451</v>
      </c>
      <c r="C80" s="19" t="s">
        <v>10</v>
      </c>
      <c r="D80" s="16" t="s">
        <v>107</v>
      </c>
      <c r="E80" s="16" t="s">
        <v>109</v>
      </c>
      <c r="F80" s="16" t="s">
        <v>45</v>
      </c>
      <c r="G80" s="210">
        <f>148.4+56.6+26</f>
        <v>231</v>
      </c>
      <c r="H80" s="54" t="s">
        <v>555</v>
      </c>
      <c r="I80" s="158" t="s">
        <v>556</v>
      </c>
    </row>
    <row r="81" spans="1:9" ht="35.25" customHeight="1" x14ac:dyDescent="0.3">
      <c r="A81" s="20" t="s">
        <v>592</v>
      </c>
      <c r="B81" s="285" t="s">
        <v>113</v>
      </c>
      <c r="C81" s="25" t="s">
        <v>10</v>
      </c>
      <c r="D81" s="20" t="s">
        <v>114</v>
      </c>
      <c r="E81" s="20"/>
      <c r="F81" s="20"/>
      <c r="G81" s="209">
        <f>G92+G90+G88+G86+G84+G82</f>
        <v>181.2</v>
      </c>
      <c r="H81" s="209">
        <f t="shared" ref="H81:I81" si="34">H92+H90+H88+H86+H84+H82</f>
        <v>192.7</v>
      </c>
      <c r="I81" s="209">
        <f t="shared" si="34"/>
        <v>204.5</v>
      </c>
    </row>
    <row r="82" spans="1:9" ht="78.75" customHeight="1" x14ac:dyDescent="0.3">
      <c r="A82" s="16" t="s">
        <v>207</v>
      </c>
      <c r="B82" s="266" t="s">
        <v>111</v>
      </c>
      <c r="C82" s="19" t="s">
        <v>10</v>
      </c>
      <c r="D82" s="16" t="s">
        <v>114</v>
      </c>
      <c r="E82" s="16" t="s">
        <v>112</v>
      </c>
      <c r="F82" s="16"/>
      <c r="G82" s="210">
        <f>G83</f>
        <v>48.2</v>
      </c>
      <c r="H82" s="210" t="str">
        <f>H83</f>
        <v>50,7</v>
      </c>
      <c r="I82" s="210">
        <f>I83</f>
        <v>53.2</v>
      </c>
    </row>
    <row r="83" spans="1:9" ht="33.75" customHeight="1" x14ac:dyDescent="0.3">
      <c r="A83" s="16" t="s">
        <v>288</v>
      </c>
      <c r="B83" s="266" t="s">
        <v>451</v>
      </c>
      <c r="C83" s="19" t="s">
        <v>10</v>
      </c>
      <c r="D83" s="16" t="s">
        <v>114</v>
      </c>
      <c r="E83" s="16" t="s">
        <v>112</v>
      </c>
      <c r="F83" s="16" t="s">
        <v>45</v>
      </c>
      <c r="G83" s="210">
        <v>48.2</v>
      </c>
      <c r="H83" s="158" t="s">
        <v>548</v>
      </c>
      <c r="I83" s="211">
        <v>53.2</v>
      </c>
    </row>
    <row r="84" spans="1:9" ht="81.75" customHeight="1" x14ac:dyDescent="0.3">
      <c r="A84" s="16" t="s">
        <v>209</v>
      </c>
      <c r="B84" s="266" t="s">
        <v>115</v>
      </c>
      <c r="C84" s="19" t="s">
        <v>10</v>
      </c>
      <c r="D84" s="19" t="s">
        <v>114</v>
      </c>
      <c r="E84" s="16" t="s">
        <v>116</v>
      </c>
      <c r="F84" s="16"/>
      <c r="G84" s="210">
        <f>G85</f>
        <v>10</v>
      </c>
      <c r="H84" s="210">
        <f t="shared" ref="H84:I84" si="35">H85</f>
        <v>10.5</v>
      </c>
      <c r="I84" s="210">
        <f t="shared" si="35"/>
        <v>11</v>
      </c>
    </row>
    <row r="85" spans="1:9" ht="33.75" customHeight="1" x14ac:dyDescent="0.3">
      <c r="A85" s="16" t="s">
        <v>289</v>
      </c>
      <c r="B85" s="266" t="s">
        <v>451</v>
      </c>
      <c r="C85" s="19" t="s">
        <v>10</v>
      </c>
      <c r="D85" s="19" t="s">
        <v>114</v>
      </c>
      <c r="E85" s="16" t="s">
        <v>116</v>
      </c>
      <c r="F85" s="16" t="s">
        <v>45</v>
      </c>
      <c r="G85" s="210">
        <v>10</v>
      </c>
      <c r="H85" s="213">
        <v>10.5</v>
      </c>
      <c r="I85" s="211">
        <v>11</v>
      </c>
    </row>
    <row r="86" spans="1:9" ht="126.6" customHeight="1" x14ac:dyDescent="0.3">
      <c r="A86" s="16" t="s">
        <v>306</v>
      </c>
      <c r="B86" s="271" t="s">
        <v>71</v>
      </c>
      <c r="C86" s="19" t="s">
        <v>10</v>
      </c>
      <c r="D86" s="16" t="s">
        <v>114</v>
      </c>
      <c r="E86" s="16" t="s">
        <v>72</v>
      </c>
      <c r="F86" s="16"/>
      <c r="G86" s="210">
        <f>G87</f>
        <v>10</v>
      </c>
      <c r="H86" s="210">
        <f t="shared" ref="H86:I86" si="36">H87</f>
        <v>10.5</v>
      </c>
      <c r="I86" s="210">
        <f t="shared" si="36"/>
        <v>11</v>
      </c>
    </row>
    <row r="87" spans="1:9" ht="32.25" customHeight="1" x14ac:dyDescent="0.3">
      <c r="A87" s="16" t="s">
        <v>290</v>
      </c>
      <c r="B87" s="266" t="s">
        <v>451</v>
      </c>
      <c r="C87" s="19" t="s">
        <v>10</v>
      </c>
      <c r="D87" s="16" t="s">
        <v>114</v>
      </c>
      <c r="E87" s="16" t="s">
        <v>72</v>
      </c>
      <c r="F87" s="16" t="s">
        <v>45</v>
      </c>
      <c r="G87" s="210">
        <v>10</v>
      </c>
      <c r="H87" s="211">
        <v>10.5</v>
      </c>
      <c r="I87" s="211">
        <v>11</v>
      </c>
    </row>
    <row r="88" spans="1:9" ht="82.5" customHeight="1" x14ac:dyDescent="0.3">
      <c r="A88" s="16" t="s">
        <v>211</v>
      </c>
      <c r="B88" s="287" t="s">
        <v>117</v>
      </c>
      <c r="C88" s="19" t="s">
        <v>10</v>
      </c>
      <c r="D88" s="16" t="s">
        <v>114</v>
      </c>
      <c r="E88" s="16" t="s">
        <v>118</v>
      </c>
      <c r="F88" s="16"/>
      <c r="G88" s="210">
        <f>G89</f>
        <v>40</v>
      </c>
      <c r="H88" s="210" t="str">
        <f t="shared" ref="H88:I88" si="37">H89</f>
        <v>44,2</v>
      </c>
      <c r="I88" s="210">
        <f t="shared" si="37"/>
        <v>48.6</v>
      </c>
    </row>
    <row r="89" spans="1:9" ht="29.25" customHeight="1" x14ac:dyDescent="0.3">
      <c r="A89" s="16" t="s">
        <v>291</v>
      </c>
      <c r="B89" s="266" t="s">
        <v>451</v>
      </c>
      <c r="C89" s="19" t="s">
        <v>10</v>
      </c>
      <c r="D89" s="19" t="s">
        <v>114</v>
      </c>
      <c r="E89" s="16" t="s">
        <v>118</v>
      </c>
      <c r="F89" s="16" t="s">
        <v>45</v>
      </c>
      <c r="G89" s="210">
        <v>40</v>
      </c>
      <c r="H89" s="158" t="s">
        <v>396</v>
      </c>
      <c r="I89" s="144">
        <v>48.6</v>
      </c>
    </row>
    <row r="90" spans="1:9" ht="96" customHeight="1" x14ac:dyDescent="0.3">
      <c r="A90" s="16" t="s">
        <v>213</v>
      </c>
      <c r="B90" s="266" t="s">
        <v>577</v>
      </c>
      <c r="C90" s="19" t="s">
        <v>10</v>
      </c>
      <c r="D90" s="19" t="s">
        <v>114</v>
      </c>
      <c r="E90" s="16" t="s">
        <v>119</v>
      </c>
      <c r="F90" s="16"/>
      <c r="G90" s="210">
        <f>G91</f>
        <v>40</v>
      </c>
      <c r="H90" s="210" t="str">
        <f t="shared" ref="H90:I92" si="38">H91</f>
        <v>42,1</v>
      </c>
      <c r="I90" s="210">
        <f t="shared" si="38"/>
        <v>44.2</v>
      </c>
    </row>
    <row r="91" spans="1:9" ht="33.75" customHeight="1" x14ac:dyDescent="0.3">
      <c r="A91" s="16" t="s">
        <v>399</v>
      </c>
      <c r="B91" s="266" t="s">
        <v>44</v>
      </c>
      <c r="C91" s="19" t="s">
        <v>10</v>
      </c>
      <c r="D91" s="19" t="s">
        <v>114</v>
      </c>
      <c r="E91" s="16" t="s">
        <v>119</v>
      </c>
      <c r="F91" s="16" t="s">
        <v>45</v>
      </c>
      <c r="G91" s="210">
        <v>40</v>
      </c>
      <c r="H91" s="158" t="s">
        <v>549</v>
      </c>
      <c r="I91" s="144">
        <v>44.2</v>
      </c>
    </row>
    <row r="92" spans="1:9" ht="194.25" customHeight="1" x14ac:dyDescent="0.3">
      <c r="A92" s="16" t="s">
        <v>401</v>
      </c>
      <c r="B92" s="262" t="s">
        <v>412</v>
      </c>
      <c r="C92" s="19" t="s">
        <v>10</v>
      </c>
      <c r="D92" s="19" t="s">
        <v>114</v>
      </c>
      <c r="E92" s="16" t="s">
        <v>413</v>
      </c>
      <c r="F92" s="16"/>
      <c r="G92" s="210">
        <f>G93</f>
        <v>33</v>
      </c>
      <c r="H92" s="210" t="str">
        <f t="shared" si="38"/>
        <v>34,7</v>
      </c>
      <c r="I92" s="210">
        <f t="shared" si="38"/>
        <v>36.5</v>
      </c>
    </row>
    <row r="93" spans="1:9" ht="33.75" customHeight="1" x14ac:dyDescent="0.3">
      <c r="A93" s="16" t="s">
        <v>402</v>
      </c>
      <c r="B93" s="266" t="s">
        <v>451</v>
      </c>
      <c r="C93" s="19" t="s">
        <v>10</v>
      </c>
      <c r="D93" s="19" t="s">
        <v>114</v>
      </c>
      <c r="E93" s="16" t="s">
        <v>413</v>
      </c>
      <c r="F93" s="16" t="s">
        <v>45</v>
      </c>
      <c r="G93" s="210">
        <v>33</v>
      </c>
      <c r="H93" s="158" t="s">
        <v>550</v>
      </c>
      <c r="I93" s="211">
        <v>36.5</v>
      </c>
    </row>
    <row r="94" spans="1:9" ht="20.25" x14ac:dyDescent="0.3">
      <c r="A94" s="14" t="s">
        <v>172</v>
      </c>
      <c r="B94" s="285" t="s">
        <v>120</v>
      </c>
      <c r="C94" s="23" t="s">
        <v>10</v>
      </c>
      <c r="D94" s="14" t="s">
        <v>121</v>
      </c>
      <c r="E94" s="14"/>
      <c r="F94" s="14"/>
      <c r="G94" s="218">
        <f>G95</f>
        <v>10212.299999999999</v>
      </c>
      <c r="H94" s="218">
        <f t="shared" ref="H94:I94" si="39">H95</f>
        <v>10049.25</v>
      </c>
      <c r="I94" s="218">
        <f t="shared" si="39"/>
        <v>10549.8</v>
      </c>
    </row>
    <row r="95" spans="1:9" ht="18.75" x14ac:dyDescent="0.3">
      <c r="A95" s="16" t="s">
        <v>215</v>
      </c>
      <c r="B95" s="266" t="s">
        <v>122</v>
      </c>
      <c r="C95" s="19" t="s">
        <v>10</v>
      </c>
      <c r="D95" s="16" t="s">
        <v>123</v>
      </c>
      <c r="E95" s="16"/>
      <c r="F95" s="16"/>
      <c r="G95" s="210">
        <f>G96+G98+G100</f>
        <v>10212.299999999999</v>
      </c>
      <c r="H95" s="210">
        <f t="shared" ref="H95:I95" si="40">H96+H98+H100</f>
        <v>10049.25</v>
      </c>
      <c r="I95" s="210">
        <f t="shared" si="40"/>
        <v>10549.8</v>
      </c>
    </row>
    <row r="96" spans="1:9" ht="60" customHeight="1" x14ac:dyDescent="0.3">
      <c r="A96" s="16" t="s">
        <v>216</v>
      </c>
      <c r="B96" s="276" t="s">
        <v>124</v>
      </c>
      <c r="C96" s="19" t="s">
        <v>10</v>
      </c>
      <c r="D96" s="16" t="s">
        <v>125</v>
      </c>
      <c r="E96" s="16" t="s">
        <v>126</v>
      </c>
      <c r="F96" s="16"/>
      <c r="G96" s="210">
        <f>G97</f>
        <v>5733.4</v>
      </c>
      <c r="H96" s="210">
        <f t="shared" ref="H96:I96" si="41">H97</f>
        <v>5952.95</v>
      </c>
      <c r="I96" s="210">
        <f t="shared" si="41"/>
        <v>6249</v>
      </c>
    </row>
    <row r="97" spans="1:9" ht="36" customHeight="1" x14ac:dyDescent="0.3">
      <c r="A97" s="16" t="s">
        <v>292</v>
      </c>
      <c r="B97" s="266" t="s">
        <v>451</v>
      </c>
      <c r="C97" s="19" t="s">
        <v>10</v>
      </c>
      <c r="D97" s="16" t="s">
        <v>123</v>
      </c>
      <c r="E97" s="16" t="s">
        <v>126</v>
      </c>
      <c r="F97" s="16" t="s">
        <v>45</v>
      </c>
      <c r="G97" s="229">
        <f>5733.4+400-400</f>
        <v>5733.4</v>
      </c>
      <c r="H97" s="211">
        <f>5952.95</f>
        <v>5952.95</v>
      </c>
      <c r="I97" s="214">
        <v>6249</v>
      </c>
    </row>
    <row r="98" spans="1:9" ht="95.25" x14ac:dyDescent="0.3">
      <c r="A98" s="16" t="s">
        <v>234</v>
      </c>
      <c r="B98" s="288" t="s">
        <v>171</v>
      </c>
      <c r="C98" s="19" t="s">
        <v>10</v>
      </c>
      <c r="D98" s="16" t="s">
        <v>125</v>
      </c>
      <c r="E98" s="16" t="s">
        <v>243</v>
      </c>
      <c r="F98" s="16"/>
      <c r="G98" s="230">
        <f>G99</f>
        <v>2261.4</v>
      </c>
      <c r="H98" s="230">
        <f t="shared" ref="H98:I98" si="42">H99</f>
        <v>2019.6</v>
      </c>
      <c r="I98" s="230">
        <f t="shared" si="42"/>
        <v>2120.3000000000002</v>
      </c>
    </row>
    <row r="99" spans="1:9" ht="32.25" x14ac:dyDescent="0.3">
      <c r="A99" s="16" t="s">
        <v>293</v>
      </c>
      <c r="B99" s="275" t="s">
        <v>44</v>
      </c>
      <c r="C99" s="19" t="s">
        <v>10</v>
      </c>
      <c r="D99" s="16" t="s">
        <v>125</v>
      </c>
      <c r="E99" s="16" t="s">
        <v>243</v>
      </c>
      <c r="F99" s="16" t="s">
        <v>45</v>
      </c>
      <c r="G99" s="230">
        <f>1923.4+300+38</f>
        <v>2261.4</v>
      </c>
      <c r="H99" s="144">
        <f>2019.6</f>
        <v>2019.6</v>
      </c>
      <c r="I99" s="144">
        <f>2120.3</f>
        <v>2120.3000000000002</v>
      </c>
    </row>
    <row r="100" spans="1:9" ht="62.25" customHeight="1" x14ac:dyDescent="0.3">
      <c r="A100" s="16" t="s">
        <v>397</v>
      </c>
      <c r="B100" s="266" t="s">
        <v>127</v>
      </c>
      <c r="C100" s="19" t="s">
        <v>10</v>
      </c>
      <c r="D100" s="16" t="s">
        <v>123</v>
      </c>
      <c r="E100" s="16" t="s">
        <v>128</v>
      </c>
      <c r="F100" s="16"/>
      <c r="G100" s="210">
        <f>G101</f>
        <v>2217.5</v>
      </c>
      <c r="H100" s="210" t="str">
        <f t="shared" ref="H100:I100" si="43">H101</f>
        <v>2076,7</v>
      </c>
      <c r="I100" s="210" t="str">
        <f t="shared" si="43"/>
        <v>2180,5</v>
      </c>
    </row>
    <row r="101" spans="1:9" ht="30.75" customHeight="1" x14ac:dyDescent="0.3">
      <c r="A101" s="16" t="s">
        <v>398</v>
      </c>
      <c r="B101" s="266" t="s">
        <v>451</v>
      </c>
      <c r="C101" s="19" t="s">
        <v>10</v>
      </c>
      <c r="D101" s="16" t="s">
        <v>123</v>
      </c>
      <c r="E101" s="16" t="s">
        <v>128</v>
      </c>
      <c r="F101" s="16" t="s">
        <v>45</v>
      </c>
      <c r="G101" s="229">
        <f>2017.5+200</f>
        <v>2217.5</v>
      </c>
      <c r="H101" s="158" t="s">
        <v>546</v>
      </c>
      <c r="I101" s="54" t="s">
        <v>537</v>
      </c>
    </row>
    <row r="102" spans="1:9" ht="20.25" x14ac:dyDescent="0.3">
      <c r="A102" s="14" t="s">
        <v>221</v>
      </c>
      <c r="B102" s="289" t="s">
        <v>129</v>
      </c>
      <c r="C102" s="23" t="s">
        <v>10</v>
      </c>
      <c r="D102" s="14" t="s">
        <v>130</v>
      </c>
      <c r="E102" s="14"/>
      <c r="F102" s="14"/>
      <c r="G102" s="218">
        <f>G103+G106</f>
        <v>8992.5</v>
      </c>
      <c r="H102" s="218">
        <f t="shared" ref="H102:I102" si="44">H103+H106</f>
        <v>7709.7</v>
      </c>
      <c r="I102" s="218">
        <f t="shared" si="44"/>
        <v>8001.4</v>
      </c>
    </row>
    <row r="103" spans="1:9" ht="25.5" customHeight="1" x14ac:dyDescent="0.3">
      <c r="A103" s="167" t="s">
        <v>223</v>
      </c>
      <c r="B103" s="266" t="s">
        <v>131</v>
      </c>
      <c r="C103" s="19" t="s">
        <v>10</v>
      </c>
      <c r="D103" s="16" t="s">
        <v>400</v>
      </c>
      <c r="E103" s="16"/>
      <c r="F103" s="16"/>
      <c r="G103" s="210">
        <f>G104</f>
        <v>2115.8000000000002</v>
      </c>
      <c r="H103" s="210">
        <f t="shared" ref="H103:I104" si="45">H104</f>
        <v>565.5</v>
      </c>
      <c r="I103" s="210">
        <f t="shared" si="45"/>
        <v>565.5</v>
      </c>
    </row>
    <row r="104" spans="1:9" ht="95.45" customHeight="1" x14ac:dyDescent="0.3">
      <c r="A104" s="167" t="s">
        <v>307</v>
      </c>
      <c r="B104" s="266" t="s">
        <v>511</v>
      </c>
      <c r="C104" s="19" t="s">
        <v>10</v>
      </c>
      <c r="D104" s="16" t="s">
        <v>400</v>
      </c>
      <c r="E104" s="16" t="s">
        <v>132</v>
      </c>
      <c r="F104" s="16"/>
      <c r="G104" s="210">
        <f>G105</f>
        <v>2115.8000000000002</v>
      </c>
      <c r="H104" s="210">
        <f t="shared" si="45"/>
        <v>565.5</v>
      </c>
      <c r="I104" s="210">
        <f t="shared" si="45"/>
        <v>565.5</v>
      </c>
    </row>
    <row r="105" spans="1:9" ht="32.25" x14ac:dyDescent="0.3">
      <c r="A105" s="167" t="s">
        <v>294</v>
      </c>
      <c r="B105" s="266" t="s">
        <v>133</v>
      </c>
      <c r="C105" s="19" t="s">
        <v>10</v>
      </c>
      <c r="D105" s="16" t="s">
        <v>400</v>
      </c>
      <c r="E105" s="16" t="s">
        <v>132</v>
      </c>
      <c r="F105" s="16" t="s">
        <v>134</v>
      </c>
      <c r="G105" s="210">
        <f>543.7+21.8+1550.3</f>
        <v>2115.8000000000002</v>
      </c>
      <c r="H105" s="144">
        <f>543.7+21.8</f>
        <v>565.5</v>
      </c>
      <c r="I105" s="255">
        <v>565.5</v>
      </c>
    </row>
    <row r="106" spans="1:9" s="28" customFormat="1" ht="20.25" x14ac:dyDescent="0.3">
      <c r="A106" s="167" t="s">
        <v>224</v>
      </c>
      <c r="B106" s="266" t="s">
        <v>135</v>
      </c>
      <c r="C106" s="19" t="s">
        <v>10</v>
      </c>
      <c r="D106" s="16" t="s">
        <v>136</v>
      </c>
      <c r="E106" s="16"/>
      <c r="F106" s="16"/>
      <c r="G106" s="210">
        <f>G107+G109</f>
        <v>6876.7000000000007</v>
      </c>
      <c r="H106" s="210">
        <f t="shared" ref="H106:I106" si="46">H107+H109</f>
        <v>7144.2</v>
      </c>
      <c r="I106" s="210">
        <f t="shared" si="46"/>
        <v>7435.9</v>
      </c>
    </row>
    <row r="107" spans="1:9" ht="79.5" customHeight="1" x14ac:dyDescent="0.3">
      <c r="A107" s="158" t="s">
        <v>226</v>
      </c>
      <c r="B107" s="290" t="s">
        <v>137</v>
      </c>
      <c r="C107" s="16" t="s">
        <v>10</v>
      </c>
      <c r="D107" s="16" t="s">
        <v>136</v>
      </c>
      <c r="E107" s="16" t="s">
        <v>138</v>
      </c>
      <c r="F107" s="158"/>
      <c r="G107" s="213">
        <f>G108</f>
        <v>4943.6000000000004</v>
      </c>
      <c r="H107" s="213">
        <f t="shared" ref="H107:I107" si="47">H108</f>
        <v>5136</v>
      </c>
      <c r="I107" s="213">
        <f t="shared" si="47"/>
        <v>5345.7</v>
      </c>
    </row>
    <row r="108" spans="1:9" ht="32.25" x14ac:dyDescent="0.3">
      <c r="A108" s="158" t="s">
        <v>296</v>
      </c>
      <c r="B108" s="274" t="s">
        <v>133</v>
      </c>
      <c r="C108" s="19" t="s">
        <v>10</v>
      </c>
      <c r="D108" s="16" t="s">
        <v>136</v>
      </c>
      <c r="E108" s="16" t="s">
        <v>138</v>
      </c>
      <c r="F108" s="16" t="s">
        <v>134</v>
      </c>
      <c r="G108" s="210">
        <v>4943.6000000000004</v>
      </c>
      <c r="H108" s="211">
        <v>5136</v>
      </c>
      <c r="I108" s="144">
        <v>5345.7</v>
      </c>
    </row>
    <row r="109" spans="1:9" ht="61.5" customHeight="1" x14ac:dyDescent="0.3">
      <c r="A109" s="158" t="s">
        <v>228</v>
      </c>
      <c r="B109" s="266" t="s">
        <v>139</v>
      </c>
      <c r="C109" s="19" t="s">
        <v>10</v>
      </c>
      <c r="D109" s="16" t="s">
        <v>136</v>
      </c>
      <c r="E109" s="16" t="s">
        <v>140</v>
      </c>
      <c r="F109" s="16"/>
      <c r="G109" s="210">
        <f>G110</f>
        <v>1933.1</v>
      </c>
      <c r="H109" s="210">
        <f t="shared" ref="H109:I109" si="48">H110</f>
        <v>2008.2</v>
      </c>
      <c r="I109" s="210">
        <f t="shared" si="48"/>
        <v>2090.1999999999998</v>
      </c>
    </row>
    <row r="110" spans="1:9" ht="32.25" x14ac:dyDescent="0.3">
      <c r="A110" s="158" t="s">
        <v>296</v>
      </c>
      <c r="B110" s="274" t="s">
        <v>133</v>
      </c>
      <c r="C110" s="19" t="s">
        <v>10</v>
      </c>
      <c r="D110" s="16" t="s">
        <v>136</v>
      </c>
      <c r="E110" s="16" t="s">
        <v>140</v>
      </c>
      <c r="F110" s="16" t="s">
        <v>134</v>
      </c>
      <c r="G110" s="210">
        <v>1933.1</v>
      </c>
      <c r="H110" s="144">
        <v>2008.2</v>
      </c>
      <c r="I110" s="144">
        <v>2090.1999999999998</v>
      </c>
    </row>
    <row r="111" spans="1:9" s="2" customFormat="1" ht="20.25" x14ac:dyDescent="0.3">
      <c r="A111" s="14" t="s">
        <v>229</v>
      </c>
      <c r="B111" s="291" t="s">
        <v>169</v>
      </c>
      <c r="C111" s="25" t="s">
        <v>10</v>
      </c>
      <c r="D111" s="20" t="s">
        <v>165</v>
      </c>
      <c r="E111" s="20"/>
      <c r="F111" s="20"/>
      <c r="G111" s="209">
        <f>G112</f>
        <v>45</v>
      </c>
      <c r="H111" s="209" t="str">
        <f t="shared" ref="H111:I112" si="49">H112</f>
        <v>47,4</v>
      </c>
      <c r="I111" s="209">
        <f t="shared" si="49"/>
        <v>49.7</v>
      </c>
    </row>
    <row r="112" spans="1:9" s="2" customFormat="1" ht="20.25" x14ac:dyDescent="0.3">
      <c r="A112" s="14" t="s">
        <v>230</v>
      </c>
      <c r="B112" s="291" t="s">
        <v>170</v>
      </c>
      <c r="C112" s="25" t="s">
        <v>10</v>
      </c>
      <c r="D112" s="20" t="s">
        <v>166</v>
      </c>
      <c r="E112" s="20"/>
      <c r="F112" s="20"/>
      <c r="G112" s="209">
        <f>G113</f>
        <v>45</v>
      </c>
      <c r="H112" s="209" t="str">
        <f t="shared" si="49"/>
        <v>47,4</v>
      </c>
      <c r="I112" s="209">
        <f t="shared" si="49"/>
        <v>49.7</v>
      </c>
    </row>
    <row r="113" spans="1:9" ht="142.5" x14ac:dyDescent="0.3">
      <c r="A113" s="167" t="s">
        <v>231</v>
      </c>
      <c r="B113" s="292" t="s">
        <v>168</v>
      </c>
      <c r="C113" s="19" t="s">
        <v>10</v>
      </c>
      <c r="D113" s="16" t="s">
        <v>166</v>
      </c>
      <c r="E113" s="16" t="s">
        <v>167</v>
      </c>
      <c r="F113" s="16"/>
      <c r="G113" s="210">
        <f>G114</f>
        <v>45</v>
      </c>
      <c r="H113" s="210" t="str">
        <f>H114</f>
        <v>47,4</v>
      </c>
      <c r="I113" s="210">
        <f>I114</f>
        <v>49.7</v>
      </c>
    </row>
    <row r="114" spans="1:9" ht="48" x14ac:dyDescent="0.3">
      <c r="A114" s="167" t="s">
        <v>297</v>
      </c>
      <c r="B114" s="266" t="s">
        <v>451</v>
      </c>
      <c r="C114" s="19" t="s">
        <v>10</v>
      </c>
      <c r="D114" s="16" t="s">
        <v>166</v>
      </c>
      <c r="E114" s="16" t="s">
        <v>167</v>
      </c>
      <c r="F114" s="16" t="s">
        <v>45</v>
      </c>
      <c r="G114" s="210">
        <v>45</v>
      </c>
      <c r="H114" s="158" t="s">
        <v>547</v>
      </c>
      <c r="I114" s="144">
        <v>49.7</v>
      </c>
    </row>
    <row r="115" spans="1:9" ht="20.25" x14ac:dyDescent="0.3">
      <c r="A115" s="14" t="s">
        <v>222</v>
      </c>
      <c r="B115" s="286" t="s">
        <v>570</v>
      </c>
      <c r="C115" s="25" t="s">
        <v>10</v>
      </c>
      <c r="D115" s="20" t="s">
        <v>571</v>
      </c>
      <c r="E115" s="20"/>
      <c r="F115" s="20"/>
      <c r="G115" s="209">
        <f>G116</f>
        <v>379.2</v>
      </c>
      <c r="H115" s="209" t="str">
        <f t="shared" ref="H115:I118" si="50">H116</f>
        <v>1304,8</v>
      </c>
      <c r="I115" s="209">
        <f t="shared" si="50"/>
        <v>482</v>
      </c>
    </row>
    <row r="116" spans="1:9" ht="20.25" x14ac:dyDescent="0.3">
      <c r="A116" s="14" t="s">
        <v>236</v>
      </c>
      <c r="B116" s="285" t="s">
        <v>570</v>
      </c>
      <c r="C116" s="25" t="s">
        <v>10</v>
      </c>
      <c r="D116" s="20" t="s">
        <v>572</v>
      </c>
      <c r="E116" s="20"/>
      <c r="F116" s="20"/>
      <c r="G116" s="209">
        <f>G117</f>
        <v>379.2</v>
      </c>
      <c r="H116" s="209" t="str">
        <f t="shared" si="50"/>
        <v>1304,8</v>
      </c>
      <c r="I116" s="209">
        <f t="shared" si="50"/>
        <v>482</v>
      </c>
    </row>
    <row r="117" spans="1:9" ht="20.25" x14ac:dyDescent="0.3">
      <c r="A117" s="167" t="s">
        <v>237</v>
      </c>
      <c r="B117" s="266" t="s">
        <v>570</v>
      </c>
      <c r="C117" s="19" t="s">
        <v>10</v>
      </c>
      <c r="D117" s="16" t="s">
        <v>572</v>
      </c>
      <c r="E117" s="16" t="s">
        <v>41</v>
      </c>
      <c r="F117" s="16"/>
      <c r="G117" s="210">
        <f>G118</f>
        <v>379.2</v>
      </c>
      <c r="H117" s="210" t="str">
        <f t="shared" si="50"/>
        <v>1304,8</v>
      </c>
      <c r="I117" s="210">
        <f t="shared" si="50"/>
        <v>482</v>
      </c>
    </row>
    <row r="118" spans="1:9" ht="20.25" x14ac:dyDescent="0.3">
      <c r="A118" s="167" t="s">
        <v>496</v>
      </c>
      <c r="B118" s="266" t="s">
        <v>570</v>
      </c>
      <c r="C118" s="19" t="s">
        <v>10</v>
      </c>
      <c r="D118" s="16" t="s">
        <v>572</v>
      </c>
      <c r="E118" s="16" t="s">
        <v>41</v>
      </c>
      <c r="F118" s="16" t="s">
        <v>573</v>
      </c>
      <c r="G118" s="210">
        <f>G119</f>
        <v>379.2</v>
      </c>
      <c r="H118" s="210" t="str">
        <f t="shared" si="50"/>
        <v>1304,8</v>
      </c>
      <c r="I118" s="210">
        <f t="shared" si="50"/>
        <v>482</v>
      </c>
    </row>
    <row r="119" spans="1:9" ht="20.25" x14ac:dyDescent="0.3">
      <c r="A119" s="167" t="s">
        <v>569</v>
      </c>
      <c r="B119" s="266" t="s">
        <v>570</v>
      </c>
      <c r="C119" s="19" t="s">
        <v>10</v>
      </c>
      <c r="D119" s="16" t="s">
        <v>572</v>
      </c>
      <c r="E119" s="16" t="s">
        <v>41</v>
      </c>
      <c r="F119" s="16" t="s">
        <v>574</v>
      </c>
      <c r="G119" s="210">
        <v>379.2</v>
      </c>
      <c r="H119" s="16" t="s">
        <v>575</v>
      </c>
      <c r="I119" s="257">
        <v>482</v>
      </c>
    </row>
    <row r="120" spans="1:9" ht="63.75" x14ac:dyDescent="0.3">
      <c r="A120" s="168" t="s">
        <v>141</v>
      </c>
      <c r="B120" s="293" t="s">
        <v>142</v>
      </c>
      <c r="C120" s="167" t="s">
        <v>143</v>
      </c>
      <c r="D120" s="167"/>
      <c r="E120" s="167"/>
      <c r="F120" s="167"/>
      <c r="G120" s="218">
        <f>G121+G139</f>
        <v>7964.9000000000005</v>
      </c>
      <c r="H120" s="218">
        <f>H121+H139</f>
        <v>8292.9</v>
      </c>
      <c r="I120" s="218">
        <f>I121+I139</f>
        <v>8725.7799999999988</v>
      </c>
    </row>
    <row r="121" spans="1:9" ht="20.25" x14ac:dyDescent="0.3">
      <c r="A121" s="14" t="s">
        <v>28</v>
      </c>
      <c r="B121" s="270" t="s">
        <v>29</v>
      </c>
      <c r="C121" s="14" t="s">
        <v>143</v>
      </c>
      <c r="D121" s="14" t="s">
        <v>30</v>
      </c>
      <c r="E121" s="14"/>
      <c r="F121" s="14"/>
      <c r="G121" s="218">
        <f>G122+G125+G134</f>
        <v>5364.9000000000005</v>
      </c>
      <c r="H121" s="218">
        <f t="shared" ref="H121:I121" si="51">H122+H125+H134</f>
        <v>5694.9</v>
      </c>
      <c r="I121" s="218">
        <f t="shared" si="51"/>
        <v>6047.78</v>
      </c>
    </row>
    <row r="122" spans="1:9" ht="51.75" customHeight="1" x14ac:dyDescent="0.3">
      <c r="A122" s="16" t="s">
        <v>31</v>
      </c>
      <c r="B122" s="273" t="s">
        <v>144</v>
      </c>
      <c r="C122" s="16" t="s">
        <v>143</v>
      </c>
      <c r="D122" s="16" t="s">
        <v>145</v>
      </c>
      <c r="E122" s="16"/>
      <c r="F122" s="16"/>
      <c r="G122" s="213">
        <f>G123</f>
        <v>936.3</v>
      </c>
      <c r="H122" s="213">
        <f t="shared" ref="H122:I123" si="52">H123</f>
        <v>982.4</v>
      </c>
      <c r="I122" s="213">
        <f t="shared" si="52"/>
        <v>1042.5</v>
      </c>
    </row>
    <row r="123" spans="1:9" ht="35.25" customHeight="1" x14ac:dyDescent="0.3">
      <c r="A123" s="16" t="s">
        <v>1</v>
      </c>
      <c r="B123" s="272" t="s">
        <v>146</v>
      </c>
      <c r="C123" s="16" t="s">
        <v>143</v>
      </c>
      <c r="D123" s="16" t="s">
        <v>145</v>
      </c>
      <c r="E123" s="16" t="s">
        <v>147</v>
      </c>
      <c r="F123" s="16"/>
      <c r="G123" s="210">
        <f>G124</f>
        <v>936.3</v>
      </c>
      <c r="H123" s="210">
        <f t="shared" si="52"/>
        <v>982.4</v>
      </c>
      <c r="I123" s="210">
        <f t="shared" si="52"/>
        <v>1042.5</v>
      </c>
    </row>
    <row r="124" spans="1:9" ht="95.25" x14ac:dyDescent="0.3">
      <c r="A124" s="16" t="s">
        <v>2</v>
      </c>
      <c r="B124" s="276" t="s">
        <v>37</v>
      </c>
      <c r="C124" s="16" t="s">
        <v>143</v>
      </c>
      <c r="D124" s="16" t="s">
        <v>145</v>
      </c>
      <c r="E124" s="16" t="s">
        <v>147</v>
      </c>
      <c r="F124" s="16" t="s">
        <v>38</v>
      </c>
      <c r="G124" s="210">
        <v>936.3</v>
      </c>
      <c r="H124" s="144">
        <v>982.4</v>
      </c>
      <c r="I124" s="144">
        <v>1042.5</v>
      </c>
    </row>
    <row r="125" spans="1:9" ht="70.5" customHeight="1" x14ac:dyDescent="0.3">
      <c r="A125" s="158" t="s">
        <v>39</v>
      </c>
      <c r="B125" s="275" t="s">
        <v>148</v>
      </c>
      <c r="C125" s="16" t="s">
        <v>143</v>
      </c>
      <c r="D125" s="158" t="s">
        <v>149</v>
      </c>
      <c r="E125" s="158"/>
      <c r="F125" s="158"/>
      <c r="G125" s="213">
        <f>G130+G128+G126</f>
        <v>4282.6000000000004</v>
      </c>
      <c r="H125" s="213">
        <f t="shared" ref="H125:I125" si="53">H130+H128+H126</f>
        <v>4616.5</v>
      </c>
      <c r="I125" s="213">
        <f t="shared" si="53"/>
        <v>4909.28</v>
      </c>
    </row>
    <row r="126" spans="1:9" ht="34.5" customHeight="1" x14ac:dyDescent="0.3">
      <c r="A126" s="158" t="s">
        <v>42</v>
      </c>
      <c r="B126" s="275" t="s">
        <v>150</v>
      </c>
      <c r="C126" s="16" t="s">
        <v>143</v>
      </c>
      <c r="D126" s="158" t="s">
        <v>149</v>
      </c>
      <c r="E126" s="158" t="s">
        <v>151</v>
      </c>
      <c r="F126" s="158"/>
      <c r="G126" s="213">
        <f>G127</f>
        <v>0</v>
      </c>
      <c r="H126" s="213">
        <f t="shared" ref="H126:I126" si="54">H127</f>
        <v>0</v>
      </c>
      <c r="I126" s="213">
        <f t="shared" si="54"/>
        <v>0</v>
      </c>
    </row>
    <row r="127" spans="1:9" ht="93.75" customHeight="1" x14ac:dyDescent="0.3">
      <c r="A127" s="158" t="s">
        <v>57</v>
      </c>
      <c r="B127" s="275" t="s">
        <v>152</v>
      </c>
      <c r="C127" s="16" t="s">
        <v>143</v>
      </c>
      <c r="D127" s="158" t="s">
        <v>149</v>
      </c>
      <c r="E127" s="158" t="s">
        <v>151</v>
      </c>
      <c r="F127" s="158" t="s">
        <v>38</v>
      </c>
      <c r="G127" s="214">
        <v>0</v>
      </c>
      <c r="H127" s="211">
        <v>0</v>
      </c>
      <c r="I127" s="211">
        <v>0</v>
      </c>
    </row>
    <row r="128" spans="1:9" ht="32.25" x14ac:dyDescent="0.3">
      <c r="A128" s="158" t="s">
        <v>43</v>
      </c>
      <c r="B128" s="275" t="s">
        <v>153</v>
      </c>
      <c r="C128" s="16" t="s">
        <v>143</v>
      </c>
      <c r="D128" s="158" t="s">
        <v>149</v>
      </c>
      <c r="E128" s="158" t="s">
        <v>154</v>
      </c>
      <c r="F128" s="158"/>
      <c r="G128" s="213">
        <f>G129</f>
        <v>152.30000000000001</v>
      </c>
      <c r="H128" s="213">
        <f t="shared" ref="H128:I128" si="55">H129</f>
        <v>158.30000000000001</v>
      </c>
      <c r="I128" s="213">
        <f t="shared" si="55"/>
        <v>164.7</v>
      </c>
    </row>
    <row r="129" spans="1:9" ht="95.25" x14ac:dyDescent="0.3">
      <c r="A129" s="158" t="s">
        <v>277</v>
      </c>
      <c r="B129" s="276" t="s">
        <v>37</v>
      </c>
      <c r="C129" s="16" t="s">
        <v>143</v>
      </c>
      <c r="D129" s="158" t="s">
        <v>149</v>
      </c>
      <c r="E129" s="158" t="s">
        <v>154</v>
      </c>
      <c r="F129" s="158" t="s">
        <v>38</v>
      </c>
      <c r="G129" s="214">
        <v>152.30000000000001</v>
      </c>
      <c r="H129" s="211">
        <v>158.30000000000001</v>
      </c>
      <c r="I129" s="211">
        <v>164.7</v>
      </c>
    </row>
    <row r="130" spans="1:9" ht="36" customHeight="1" x14ac:dyDescent="0.3">
      <c r="A130" s="158" t="s">
        <v>46</v>
      </c>
      <c r="B130" s="275" t="s">
        <v>155</v>
      </c>
      <c r="C130" s="16" t="s">
        <v>143</v>
      </c>
      <c r="D130" s="158" t="s">
        <v>149</v>
      </c>
      <c r="E130" s="158" t="s">
        <v>156</v>
      </c>
      <c r="F130" s="158"/>
      <c r="G130" s="213">
        <f>G131+G132+G133</f>
        <v>4130.3</v>
      </c>
      <c r="H130" s="213">
        <f>H131+H132+H133</f>
        <v>4458.2</v>
      </c>
      <c r="I130" s="213">
        <f t="shared" ref="I130" si="56">I131+I132+I133</f>
        <v>4744.58</v>
      </c>
    </row>
    <row r="131" spans="1:9" ht="93" customHeight="1" x14ac:dyDescent="0.3">
      <c r="A131" s="158" t="s">
        <v>298</v>
      </c>
      <c r="B131" s="276" t="s">
        <v>37</v>
      </c>
      <c r="C131" s="16" t="s">
        <v>143</v>
      </c>
      <c r="D131" s="158" t="s">
        <v>149</v>
      </c>
      <c r="E131" s="158" t="s">
        <v>156</v>
      </c>
      <c r="F131" s="158" t="s">
        <v>38</v>
      </c>
      <c r="G131" s="214">
        <v>2428.5</v>
      </c>
      <c r="H131" s="54" t="s">
        <v>532</v>
      </c>
      <c r="I131" s="144">
        <v>2578</v>
      </c>
    </row>
    <row r="132" spans="1:9" ht="36" customHeight="1" x14ac:dyDescent="0.3">
      <c r="A132" s="158" t="s">
        <v>299</v>
      </c>
      <c r="B132" s="266" t="s">
        <v>451</v>
      </c>
      <c r="C132" s="16" t="s">
        <v>143</v>
      </c>
      <c r="D132" s="158" t="s">
        <v>149</v>
      </c>
      <c r="E132" s="158" t="s">
        <v>156</v>
      </c>
      <c r="F132" s="158" t="s">
        <v>45</v>
      </c>
      <c r="G132" s="213">
        <f>160.3+6.7+7.3+396+69.6+487.9+693-100-20</f>
        <v>1700.8</v>
      </c>
      <c r="H132" s="222">
        <f>314.2+7+7.5+410.6+74.4+496.8+658.5</f>
        <v>1969</v>
      </c>
      <c r="I132" s="220">
        <f>340.3+7.3+7.8+427+77.4+505.5+685.2+115.08</f>
        <v>2165.58</v>
      </c>
    </row>
    <row r="133" spans="1:9" ht="18.75" x14ac:dyDescent="0.3">
      <c r="A133" s="158" t="s">
        <v>300</v>
      </c>
      <c r="B133" s="274" t="s">
        <v>47</v>
      </c>
      <c r="C133" s="16" t="s">
        <v>143</v>
      </c>
      <c r="D133" s="158" t="s">
        <v>149</v>
      </c>
      <c r="E133" s="158" t="s">
        <v>156</v>
      </c>
      <c r="F133" s="158" t="s">
        <v>48</v>
      </c>
      <c r="G133" s="213">
        <f>9-8</f>
        <v>1</v>
      </c>
      <c r="H133" s="211">
        <v>1</v>
      </c>
      <c r="I133" s="211">
        <v>1</v>
      </c>
    </row>
    <row r="134" spans="1:9" ht="32.25" x14ac:dyDescent="0.3">
      <c r="A134" s="20" t="s">
        <v>8</v>
      </c>
      <c r="B134" s="278" t="s">
        <v>58</v>
      </c>
      <c r="C134" s="203" t="s">
        <v>143</v>
      </c>
      <c r="D134" s="162" t="s">
        <v>59</v>
      </c>
      <c r="E134" s="162"/>
      <c r="F134" s="162"/>
      <c r="G134" s="231">
        <f>G137+G135+G39</f>
        <v>146</v>
      </c>
      <c r="H134" s="231">
        <f>H137+H135</f>
        <v>96</v>
      </c>
      <c r="I134" s="231">
        <f>I137+I135</f>
        <v>96</v>
      </c>
    </row>
    <row r="135" spans="1:9" s="10" customFormat="1" ht="32.25" x14ac:dyDescent="0.3">
      <c r="A135" s="20" t="s">
        <v>60</v>
      </c>
      <c r="B135" s="278" t="s">
        <v>266</v>
      </c>
      <c r="C135" s="25" t="s">
        <v>143</v>
      </c>
      <c r="D135" s="162" t="s">
        <v>59</v>
      </c>
      <c r="E135" s="162" t="s">
        <v>267</v>
      </c>
      <c r="F135" s="162"/>
      <c r="G135" s="231">
        <f>G136</f>
        <v>50</v>
      </c>
      <c r="H135" s="231">
        <f t="shared" ref="H135:I135" si="57">H136</f>
        <v>0</v>
      </c>
      <c r="I135" s="231">
        <f t="shared" si="57"/>
        <v>0</v>
      </c>
    </row>
    <row r="136" spans="1:9" s="10" customFormat="1" ht="32.25" x14ac:dyDescent="0.3">
      <c r="A136" s="16" t="s">
        <v>63</v>
      </c>
      <c r="B136" s="266" t="s">
        <v>44</v>
      </c>
      <c r="C136" s="19" t="s">
        <v>143</v>
      </c>
      <c r="D136" s="158" t="s">
        <v>59</v>
      </c>
      <c r="E136" s="158" t="s">
        <v>267</v>
      </c>
      <c r="F136" s="158" t="s">
        <v>45</v>
      </c>
      <c r="G136" s="213">
        <v>50</v>
      </c>
      <c r="H136" s="144">
        <v>0</v>
      </c>
      <c r="I136" s="144">
        <v>0</v>
      </c>
    </row>
    <row r="137" spans="1:9" ht="63.75" x14ac:dyDescent="0.3">
      <c r="A137" s="20" t="s">
        <v>64</v>
      </c>
      <c r="B137" s="294" t="s">
        <v>244</v>
      </c>
      <c r="C137" s="25" t="s">
        <v>143</v>
      </c>
      <c r="D137" s="162" t="s">
        <v>59</v>
      </c>
      <c r="E137" s="162" t="s">
        <v>157</v>
      </c>
      <c r="F137" s="162"/>
      <c r="G137" s="231">
        <f>G138</f>
        <v>96</v>
      </c>
      <c r="H137" s="231">
        <f t="shared" ref="H137:I137" si="58">H138</f>
        <v>96</v>
      </c>
      <c r="I137" s="231">
        <f t="shared" si="58"/>
        <v>96</v>
      </c>
    </row>
    <row r="138" spans="1:9" ht="18.75" x14ac:dyDescent="0.3">
      <c r="A138" s="16" t="s">
        <v>67</v>
      </c>
      <c r="B138" s="274" t="s">
        <v>47</v>
      </c>
      <c r="C138" s="19" t="s">
        <v>143</v>
      </c>
      <c r="D138" s="158" t="s">
        <v>59</v>
      </c>
      <c r="E138" s="158" t="s">
        <v>157</v>
      </c>
      <c r="F138" s="158" t="s">
        <v>48</v>
      </c>
      <c r="G138" s="210">
        <v>96</v>
      </c>
      <c r="H138" s="211">
        <v>96</v>
      </c>
      <c r="I138" s="211">
        <v>96</v>
      </c>
    </row>
    <row r="139" spans="1:9" ht="20.25" x14ac:dyDescent="0.3">
      <c r="A139" s="14" t="s">
        <v>14</v>
      </c>
      <c r="B139" s="285" t="s">
        <v>158</v>
      </c>
      <c r="C139" s="23" t="s">
        <v>143</v>
      </c>
      <c r="D139" s="14" t="s">
        <v>159</v>
      </c>
      <c r="E139" s="24"/>
      <c r="F139" s="14"/>
      <c r="G139" s="209">
        <f>G140</f>
        <v>2600</v>
      </c>
      <c r="H139" s="209" t="str">
        <f t="shared" ref="H139:I141" si="59">H140</f>
        <v>2598</v>
      </c>
      <c r="I139" s="209">
        <f t="shared" si="59"/>
        <v>2678</v>
      </c>
    </row>
    <row r="140" spans="1:9" ht="44.25" customHeight="1" x14ac:dyDescent="0.3">
      <c r="A140" s="16" t="s">
        <v>12</v>
      </c>
      <c r="B140" s="289" t="s">
        <v>160</v>
      </c>
      <c r="C140" s="25" t="s">
        <v>143</v>
      </c>
      <c r="D140" s="20" t="s">
        <v>161</v>
      </c>
      <c r="E140" s="20"/>
      <c r="F140" s="20"/>
      <c r="G140" s="209">
        <f>G141</f>
        <v>2600</v>
      </c>
      <c r="H140" s="209" t="str">
        <f t="shared" si="59"/>
        <v>2598</v>
      </c>
      <c r="I140" s="209">
        <f t="shared" si="59"/>
        <v>2678</v>
      </c>
    </row>
    <row r="141" spans="1:9" ht="207" customHeight="1" x14ac:dyDescent="0.3">
      <c r="A141" s="16" t="s">
        <v>15</v>
      </c>
      <c r="B141" s="265" t="s">
        <v>162</v>
      </c>
      <c r="C141" s="19" t="s">
        <v>143</v>
      </c>
      <c r="D141" s="16" t="s">
        <v>161</v>
      </c>
      <c r="E141" s="16" t="s">
        <v>163</v>
      </c>
      <c r="F141" s="16"/>
      <c r="G141" s="210">
        <f>G142</f>
        <v>2600</v>
      </c>
      <c r="H141" s="210" t="str">
        <f t="shared" si="59"/>
        <v>2598</v>
      </c>
      <c r="I141" s="210">
        <f t="shared" si="59"/>
        <v>2678</v>
      </c>
    </row>
    <row r="142" spans="1:9" ht="35.25" customHeight="1" x14ac:dyDescent="0.3">
      <c r="A142" s="16" t="s">
        <v>13</v>
      </c>
      <c r="B142" s="266" t="s">
        <v>451</v>
      </c>
      <c r="C142" s="19" t="s">
        <v>143</v>
      </c>
      <c r="D142" s="16" t="s">
        <v>161</v>
      </c>
      <c r="E142" s="16" t="s">
        <v>163</v>
      </c>
      <c r="F142" s="16" t="s">
        <v>45</v>
      </c>
      <c r="G142" s="210">
        <f>2526+100-26</f>
        <v>2600</v>
      </c>
      <c r="H142" s="158" t="s">
        <v>533</v>
      </c>
      <c r="I142" s="211">
        <v>2678</v>
      </c>
    </row>
    <row r="143" spans="1:9" ht="32.25" x14ac:dyDescent="0.3">
      <c r="A143" s="168" t="s">
        <v>405</v>
      </c>
      <c r="B143" s="293" t="s">
        <v>403</v>
      </c>
      <c r="C143" s="167" t="s">
        <v>404</v>
      </c>
      <c r="D143" s="167"/>
      <c r="E143" s="167"/>
      <c r="F143" s="167"/>
      <c r="G143" s="218">
        <f>G144</f>
        <v>0</v>
      </c>
      <c r="H143" s="218">
        <f>H144+H164</f>
        <v>0</v>
      </c>
      <c r="I143" s="218">
        <f>I144+I164</f>
        <v>0</v>
      </c>
    </row>
    <row r="144" spans="1:9" ht="20.25" x14ac:dyDescent="0.3">
      <c r="A144" s="14" t="s">
        <v>23</v>
      </c>
      <c r="B144" s="270" t="s">
        <v>29</v>
      </c>
      <c r="C144" s="14" t="s">
        <v>404</v>
      </c>
      <c r="D144" s="14" t="s">
        <v>30</v>
      </c>
      <c r="E144" s="14"/>
      <c r="F144" s="14"/>
      <c r="G144" s="218">
        <f>G145+G150</f>
        <v>0</v>
      </c>
      <c r="H144" s="218">
        <f t="shared" ref="H144:I144" si="60">H145+H150</f>
        <v>0</v>
      </c>
      <c r="I144" s="218">
        <f t="shared" si="60"/>
        <v>0</v>
      </c>
    </row>
    <row r="145" spans="1:12" ht="34.15" customHeight="1" x14ac:dyDescent="0.3">
      <c r="A145" s="16" t="s">
        <v>406</v>
      </c>
      <c r="B145" s="295" t="s">
        <v>408</v>
      </c>
      <c r="C145" s="16" t="s">
        <v>404</v>
      </c>
      <c r="D145" s="16" t="s">
        <v>407</v>
      </c>
      <c r="E145" s="16"/>
      <c r="F145" s="16"/>
      <c r="G145" s="213">
        <f>G147</f>
        <v>0</v>
      </c>
      <c r="H145" s="213">
        <f t="shared" ref="H145:I145" si="61">H147</f>
        <v>0</v>
      </c>
      <c r="I145" s="213">
        <f t="shared" si="61"/>
        <v>0</v>
      </c>
    </row>
    <row r="146" spans="1:12" ht="34.15" customHeight="1" x14ac:dyDescent="0.3">
      <c r="A146" s="16" t="s">
        <v>301</v>
      </c>
      <c r="B146" s="295" t="s">
        <v>148</v>
      </c>
      <c r="C146" s="16" t="s">
        <v>404</v>
      </c>
      <c r="D146" s="16" t="s">
        <v>407</v>
      </c>
      <c r="E146" s="16"/>
      <c r="F146" s="16"/>
      <c r="G146" s="210">
        <f>G147</f>
        <v>0</v>
      </c>
      <c r="H146" s="210">
        <f t="shared" ref="H146:I146" si="62">H147</f>
        <v>0</v>
      </c>
      <c r="I146" s="210">
        <f t="shared" si="62"/>
        <v>0</v>
      </c>
    </row>
    <row r="147" spans="1:12" ht="63.75" customHeight="1" x14ac:dyDescent="0.3">
      <c r="A147" s="16" t="s">
        <v>278</v>
      </c>
      <c r="B147" s="296" t="s">
        <v>409</v>
      </c>
      <c r="C147" s="16" t="s">
        <v>404</v>
      </c>
      <c r="D147" s="16" t="s">
        <v>407</v>
      </c>
      <c r="E147" s="16" t="s">
        <v>410</v>
      </c>
      <c r="F147" s="16"/>
      <c r="G147" s="210">
        <f>G148+G149</f>
        <v>0</v>
      </c>
      <c r="H147" s="210">
        <f>H148</f>
        <v>0</v>
      </c>
      <c r="I147" s="210">
        <f>I148</f>
        <v>0</v>
      </c>
    </row>
    <row r="148" spans="1:12" ht="95.25" x14ac:dyDescent="0.3">
      <c r="A148" s="16" t="s">
        <v>474</v>
      </c>
      <c r="B148" s="276" t="s">
        <v>37</v>
      </c>
      <c r="C148" s="16" t="s">
        <v>404</v>
      </c>
      <c r="D148" s="16" t="s">
        <v>407</v>
      </c>
      <c r="E148" s="16" t="s">
        <v>410</v>
      </c>
      <c r="F148" s="16" t="s">
        <v>38</v>
      </c>
      <c r="G148" s="210">
        <v>0</v>
      </c>
      <c r="H148" s="144">
        <v>0</v>
      </c>
      <c r="I148" s="144">
        <v>0</v>
      </c>
    </row>
    <row r="149" spans="1:12" ht="48" x14ac:dyDescent="0.3">
      <c r="A149" s="16" t="s">
        <v>513</v>
      </c>
      <c r="B149" s="276" t="s">
        <v>514</v>
      </c>
      <c r="C149" s="16" t="s">
        <v>404</v>
      </c>
      <c r="D149" s="16" t="s">
        <v>407</v>
      </c>
      <c r="E149" s="16" t="s">
        <v>410</v>
      </c>
      <c r="F149" s="16" t="s">
        <v>45</v>
      </c>
      <c r="G149" s="210">
        <v>0</v>
      </c>
      <c r="H149" s="144">
        <v>0</v>
      </c>
      <c r="I149" s="144">
        <v>0</v>
      </c>
    </row>
    <row r="150" spans="1:12" ht="65.25" customHeight="1" x14ac:dyDescent="0.3">
      <c r="A150" s="158" t="s">
        <v>465</v>
      </c>
      <c r="B150" s="297" t="s">
        <v>462</v>
      </c>
      <c r="C150" s="16" t="s">
        <v>404</v>
      </c>
      <c r="D150" s="158" t="s">
        <v>407</v>
      </c>
      <c r="E150" s="158" t="s">
        <v>463</v>
      </c>
      <c r="F150" s="158"/>
      <c r="G150" s="213">
        <f>G151+G152</f>
        <v>0</v>
      </c>
      <c r="H150" s="213">
        <f t="shared" ref="H150:I150" si="63">H151</f>
        <v>0</v>
      </c>
      <c r="I150" s="213">
        <f t="shared" si="63"/>
        <v>0</v>
      </c>
    </row>
    <row r="151" spans="1:12" ht="30.75" customHeight="1" x14ac:dyDescent="0.3">
      <c r="A151" s="158" t="s">
        <v>466</v>
      </c>
      <c r="B151" s="298" t="s">
        <v>527</v>
      </c>
      <c r="C151" s="16" t="s">
        <v>404</v>
      </c>
      <c r="D151" s="158" t="s">
        <v>407</v>
      </c>
      <c r="E151" s="158" t="s">
        <v>463</v>
      </c>
      <c r="F151" s="158" t="s">
        <v>526</v>
      </c>
      <c r="G151" s="214">
        <v>0</v>
      </c>
      <c r="H151" s="211">
        <v>0</v>
      </c>
      <c r="I151" s="211">
        <v>0</v>
      </c>
    </row>
    <row r="152" spans="1:12" ht="31.5" customHeight="1" x14ac:dyDescent="0.3">
      <c r="A152" s="158" t="s">
        <v>466</v>
      </c>
      <c r="B152" s="298" t="s">
        <v>44</v>
      </c>
      <c r="C152" s="16" t="s">
        <v>404</v>
      </c>
      <c r="D152" s="158" t="s">
        <v>407</v>
      </c>
      <c r="E152" s="158" t="s">
        <v>463</v>
      </c>
      <c r="F152" s="158" t="s">
        <v>526</v>
      </c>
      <c r="G152" s="214">
        <v>0</v>
      </c>
      <c r="H152" s="211">
        <v>0</v>
      </c>
      <c r="I152" s="211">
        <v>0</v>
      </c>
    </row>
    <row r="153" spans="1:12" s="29" customFormat="1" ht="18.75" x14ac:dyDescent="0.3">
      <c r="A153" s="125"/>
      <c r="B153" s="299" t="s">
        <v>164</v>
      </c>
      <c r="C153" s="126"/>
      <c r="D153" s="127"/>
      <c r="E153" s="127"/>
      <c r="F153" s="127"/>
      <c r="G153" s="132">
        <f>G11+G120+G143</f>
        <v>88067.499999999985</v>
      </c>
      <c r="H153" s="132">
        <f>H11+H120+H143</f>
        <v>63488.9</v>
      </c>
      <c r="I153" s="132">
        <f>I11+I120+I143</f>
        <v>69140.100000000006</v>
      </c>
      <c r="J153" s="96"/>
      <c r="L153" s="96"/>
    </row>
    <row r="156" spans="1:12" x14ac:dyDescent="0.25">
      <c r="G156" s="129"/>
      <c r="H156" s="207"/>
      <c r="I156" s="207"/>
    </row>
    <row r="157" spans="1:12" x14ac:dyDescent="0.25">
      <c r="G157" s="129"/>
      <c r="H157" s="129"/>
      <c r="I157" s="129"/>
    </row>
    <row r="158" spans="1:12" x14ac:dyDescent="0.25">
      <c r="H158" s="128"/>
      <c r="I158" s="128"/>
    </row>
    <row r="159" spans="1:12" x14ac:dyDescent="0.25">
      <c r="G159" s="129"/>
      <c r="H159" s="129"/>
      <c r="I159" s="129"/>
    </row>
    <row r="160" spans="1:12" x14ac:dyDescent="0.25">
      <c r="G160" s="129"/>
      <c r="H160" s="129"/>
      <c r="I160" s="129"/>
    </row>
  </sheetData>
  <autoFilter ref="A8:G153"/>
  <mergeCells count="9">
    <mergeCell ref="H8:I8"/>
    <mergeCell ref="A6:I6"/>
    <mergeCell ref="A8:A9"/>
    <mergeCell ref="B8:B9"/>
    <mergeCell ref="C8:C9"/>
    <mergeCell ref="D8:D9"/>
    <mergeCell ref="E8:E9"/>
    <mergeCell ref="F8:F9"/>
    <mergeCell ref="G8:G9"/>
  </mergeCells>
  <pageMargins left="0.7" right="0.7" top="0.75" bottom="0.75" header="0.3" footer="0.3"/>
  <pageSetup paperSize="9" scale="52" fitToHeight="0" orientation="portrait" r:id="rId1"/>
  <rowBreaks count="4" manualBreakCount="4">
    <brk id="35" max="8" man="1"/>
    <brk id="67" max="8" man="1"/>
    <brk id="93" max="8" man="1"/>
    <brk id="125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T156"/>
  <sheetViews>
    <sheetView view="pageBreakPreview" topLeftCell="A67" zoomScale="80" zoomScaleNormal="70" zoomScaleSheetLayoutView="80" workbookViewId="0">
      <selection activeCell="A6" sqref="A6"/>
    </sheetView>
  </sheetViews>
  <sheetFormatPr defaultColWidth="9.140625" defaultRowHeight="12.75" x14ac:dyDescent="0.2"/>
  <cols>
    <col min="1" max="1" width="13" style="136" customWidth="1"/>
    <col min="2" max="2" width="59.5703125" style="120" customWidth="1"/>
    <col min="3" max="3" width="15" style="119" customWidth="1"/>
    <col min="4" max="4" width="17.85546875" style="135" customWidth="1"/>
    <col min="5" max="5" width="15.140625" style="119" customWidth="1"/>
    <col min="6" max="6" width="18.42578125" style="121" customWidth="1"/>
    <col min="7" max="7" width="13.42578125" style="121" customWidth="1"/>
    <col min="8" max="8" width="12.42578125" style="121" bestFit="1" customWidth="1"/>
    <col min="9" max="15" width="9.140625" style="1" customWidth="1"/>
    <col min="16" max="251" width="9.140625" style="1"/>
    <col min="252" max="252" width="13" style="1" customWidth="1"/>
    <col min="253" max="253" width="71.42578125" style="1" customWidth="1"/>
    <col min="254" max="254" width="12.85546875" style="1" customWidth="1"/>
    <col min="255" max="255" width="17.85546875" style="1" customWidth="1"/>
    <col min="256" max="256" width="15.140625" style="1" customWidth="1"/>
    <col min="257" max="257" width="0" style="1" hidden="1" customWidth="1"/>
    <col min="258" max="258" width="18.42578125" style="1" customWidth="1"/>
    <col min="259" max="262" width="0" style="1" hidden="1" customWidth="1"/>
    <col min="263" max="263" width="13.42578125" style="1" customWidth="1"/>
    <col min="264" max="264" width="12.42578125" style="1" bestFit="1" customWidth="1"/>
    <col min="265" max="271" width="0" style="1" hidden="1" customWidth="1"/>
    <col min="272" max="507" width="9.140625" style="1"/>
    <col min="508" max="508" width="13" style="1" customWidth="1"/>
    <col min="509" max="509" width="71.42578125" style="1" customWidth="1"/>
    <col min="510" max="510" width="12.85546875" style="1" customWidth="1"/>
    <col min="511" max="511" width="17.85546875" style="1" customWidth="1"/>
    <col min="512" max="512" width="15.140625" style="1" customWidth="1"/>
    <col min="513" max="513" width="0" style="1" hidden="1" customWidth="1"/>
    <col min="514" max="514" width="18.42578125" style="1" customWidth="1"/>
    <col min="515" max="518" width="0" style="1" hidden="1" customWidth="1"/>
    <col min="519" max="519" width="13.42578125" style="1" customWidth="1"/>
    <col min="520" max="520" width="12.42578125" style="1" bestFit="1" customWidth="1"/>
    <col min="521" max="527" width="0" style="1" hidden="1" customWidth="1"/>
    <col min="528" max="763" width="9.140625" style="1"/>
    <col min="764" max="764" width="13" style="1" customWidth="1"/>
    <col min="765" max="765" width="71.42578125" style="1" customWidth="1"/>
    <col min="766" max="766" width="12.85546875" style="1" customWidth="1"/>
    <col min="767" max="767" width="17.85546875" style="1" customWidth="1"/>
    <col min="768" max="768" width="15.140625" style="1" customWidth="1"/>
    <col min="769" max="769" width="0" style="1" hidden="1" customWidth="1"/>
    <col min="770" max="770" width="18.42578125" style="1" customWidth="1"/>
    <col min="771" max="774" width="0" style="1" hidden="1" customWidth="1"/>
    <col min="775" max="775" width="13.42578125" style="1" customWidth="1"/>
    <col min="776" max="776" width="12.42578125" style="1" bestFit="1" customWidth="1"/>
    <col min="777" max="783" width="0" style="1" hidden="1" customWidth="1"/>
    <col min="784" max="1019" width="9.140625" style="1"/>
    <col min="1020" max="1020" width="13" style="1" customWidth="1"/>
    <col min="1021" max="1021" width="71.42578125" style="1" customWidth="1"/>
    <col min="1022" max="1022" width="12.85546875" style="1" customWidth="1"/>
    <col min="1023" max="1023" width="17.85546875" style="1" customWidth="1"/>
    <col min="1024" max="1024" width="15.140625" style="1" customWidth="1"/>
    <col min="1025" max="1025" width="0" style="1" hidden="1" customWidth="1"/>
    <col min="1026" max="1026" width="18.42578125" style="1" customWidth="1"/>
    <col min="1027" max="1030" width="0" style="1" hidden="1" customWidth="1"/>
    <col min="1031" max="1031" width="13.42578125" style="1" customWidth="1"/>
    <col min="1032" max="1032" width="12.42578125" style="1" bestFit="1" customWidth="1"/>
    <col min="1033" max="1039" width="0" style="1" hidden="1" customWidth="1"/>
    <col min="1040" max="1275" width="9.140625" style="1"/>
    <col min="1276" max="1276" width="13" style="1" customWidth="1"/>
    <col min="1277" max="1277" width="71.42578125" style="1" customWidth="1"/>
    <col min="1278" max="1278" width="12.85546875" style="1" customWidth="1"/>
    <col min="1279" max="1279" width="17.85546875" style="1" customWidth="1"/>
    <col min="1280" max="1280" width="15.140625" style="1" customWidth="1"/>
    <col min="1281" max="1281" width="0" style="1" hidden="1" customWidth="1"/>
    <col min="1282" max="1282" width="18.42578125" style="1" customWidth="1"/>
    <col min="1283" max="1286" width="0" style="1" hidden="1" customWidth="1"/>
    <col min="1287" max="1287" width="13.42578125" style="1" customWidth="1"/>
    <col min="1288" max="1288" width="12.42578125" style="1" bestFit="1" customWidth="1"/>
    <col min="1289" max="1295" width="0" style="1" hidden="1" customWidth="1"/>
    <col min="1296" max="1531" width="9.140625" style="1"/>
    <col min="1532" max="1532" width="13" style="1" customWidth="1"/>
    <col min="1533" max="1533" width="71.42578125" style="1" customWidth="1"/>
    <col min="1534" max="1534" width="12.85546875" style="1" customWidth="1"/>
    <col min="1535" max="1535" width="17.85546875" style="1" customWidth="1"/>
    <col min="1536" max="1536" width="15.140625" style="1" customWidth="1"/>
    <col min="1537" max="1537" width="0" style="1" hidden="1" customWidth="1"/>
    <col min="1538" max="1538" width="18.42578125" style="1" customWidth="1"/>
    <col min="1539" max="1542" width="0" style="1" hidden="1" customWidth="1"/>
    <col min="1543" max="1543" width="13.42578125" style="1" customWidth="1"/>
    <col min="1544" max="1544" width="12.42578125" style="1" bestFit="1" customWidth="1"/>
    <col min="1545" max="1551" width="0" style="1" hidden="1" customWidth="1"/>
    <col min="1552" max="1787" width="9.140625" style="1"/>
    <col min="1788" max="1788" width="13" style="1" customWidth="1"/>
    <col min="1789" max="1789" width="71.42578125" style="1" customWidth="1"/>
    <col min="1790" max="1790" width="12.85546875" style="1" customWidth="1"/>
    <col min="1791" max="1791" width="17.85546875" style="1" customWidth="1"/>
    <col min="1792" max="1792" width="15.140625" style="1" customWidth="1"/>
    <col min="1793" max="1793" width="0" style="1" hidden="1" customWidth="1"/>
    <col min="1794" max="1794" width="18.42578125" style="1" customWidth="1"/>
    <col min="1795" max="1798" width="0" style="1" hidden="1" customWidth="1"/>
    <col min="1799" max="1799" width="13.42578125" style="1" customWidth="1"/>
    <col min="1800" max="1800" width="12.42578125" style="1" bestFit="1" customWidth="1"/>
    <col min="1801" max="1807" width="0" style="1" hidden="1" customWidth="1"/>
    <col min="1808" max="2043" width="9.140625" style="1"/>
    <col min="2044" max="2044" width="13" style="1" customWidth="1"/>
    <col min="2045" max="2045" width="71.42578125" style="1" customWidth="1"/>
    <col min="2046" max="2046" width="12.85546875" style="1" customWidth="1"/>
    <col min="2047" max="2047" width="17.85546875" style="1" customWidth="1"/>
    <col min="2048" max="2048" width="15.140625" style="1" customWidth="1"/>
    <col min="2049" max="2049" width="0" style="1" hidden="1" customWidth="1"/>
    <col min="2050" max="2050" width="18.42578125" style="1" customWidth="1"/>
    <col min="2051" max="2054" width="0" style="1" hidden="1" customWidth="1"/>
    <col min="2055" max="2055" width="13.42578125" style="1" customWidth="1"/>
    <col min="2056" max="2056" width="12.42578125" style="1" bestFit="1" customWidth="1"/>
    <col min="2057" max="2063" width="0" style="1" hidden="1" customWidth="1"/>
    <col min="2064" max="2299" width="9.140625" style="1"/>
    <col min="2300" max="2300" width="13" style="1" customWidth="1"/>
    <col min="2301" max="2301" width="71.42578125" style="1" customWidth="1"/>
    <col min="2302" max="2302" width="12.85546875" style="1" customWidth="1"/>
    <col min="2303" max="2303" width="17.85546875" style="1" customWidth="1"/>
    <col min="2304" max="2304" width="15.140625" style="1" customWidth="1"/>
    <col min="2305" max="2305" width="0" style="1" hidden="1" customWidth="1"/>
    <col min="2306" max="2306" width="18.42578125" style="1" customWidth="1"/>
    <col min="2307" max="2310" width="0" style="1" hidden="1" customWidth="1"/>
    <col min="2311" max="2311" width="13.42578125" style="1" customWidth="1"/>
    <col min="2312" max="2312" width="12.42578125" style="1" bestFit="1" customWidth="1"/>
    <col min="2313" max="2319" width="0" style="1" hidden="1" customWidth="1"/>
    <col min="2320" max="2555" width="9.140625" style="1"/>
    <col min="2556" max="2556" width="13" style="1" customWidth="1"/>
    <col min="2557" max="2557" width="71.42578125" style="1" customWidth="1"/>
    <col min="2558" max="2558" width="12.85546875" style="1" customWidth="1"/>
    <col min="2559" max="2559" width="17.85546875" style="1" customWidth="1"/>
    <col min="2560" max="2560" width="15.140625" style="1" customWidth="1"/>
    <col min="2561" max="2561" width="0" style="1" hidden="1" customWidth="1"/>
    <col min="2562" max="2562" width="18.42578125" style="1" customWidth="1"/>
    <col min="2563" max="2566" width="0" style="1" hidden="1" customWidth="1"/>
    <col min="2567" max="2567" width="13.42578125" style="1" customWidth="1"/>
    <col min="2568" max="2568" width="12.42578125" style="1" bestFit="1" customWidth="1"/>
    <col min="2569" max="2575" width="0" style="1" hidden="1" customWidth="1"/>
    <col min="2576" max="2811" width="9.140625" style="1"/>
    <col min="2812" max="2812" width="13" style="1" customWidth="1"/>
    <col min="2813" max="2813" width="71.42578125" style="1" customWidth="1"/>
    <col min="2814" max="2814" width="12.85546875" style="1" customWidth="1"/>
    <col min="2815" max="2815" width="17.85546875" style="1" customWidth="1"/>
    <col min="2816" max="2816" width="15.140625" style="1" customWidth="1"/>
    <col min="2817" max="2817" width="0" style="1" hidden="1" customWidth="1"/>
    <col min="2818" max="2818" width="18.42578125" style="1" customWidth="1"/>
    <col min="2819" max="2822" width="0" style="1" hidden="1" customWidth="1"/>
    <col min="2823" max="2823" width="13.42578125" style="1" customWidth="1"/>
    <col min="2824" max="2824" width="12.42578125" style="1" bestFit="1" customWidth="1"/>
    <col min="2825" max="2831" width="0" style="1" hidden="1" customWidth="1"/>
    <col min="2832" max="3067" width="9.140625" style="1"/>
    <col min="3068" max="3068" width="13" style="1" customWidth="1"/>
    <col min="3069" max="3069" width="71.42578125" style="1" customWidth="1"/>
    <col min="3070" max="3070" width="12.85546875" style="1" customWidth="1"/>
    <col min="3071" max="3071" width="17.85546875" style="1" customWidth="1"/>
    <col min="3072" max="3072" width="15.140625" style="1" customWidth="1"/>
    <col min="3073" max="3073" width="0" style="1" hidden="1" customWidth="1"/>
    <col min="3074" max="3074" width="18.42578125" style="1" customWidth="1"/>
    <col min="3075" max="3078" width="0" style="1" hidden="1" customWidth="1"/>
    <col min="3079" max="3079" width="13.42578125" style="1" customWidth="1"/>
    <col min="3080" max="3080" width="12.42578125" style="1" bestFit="1" customWidth="1"/>
    <col min="3081" max="3087" width="0" style="1" hidden="1" customWidth="1"/>
    <col min="3088" max="3323" width="9.140625" style="1"/>
    <col min="3324" max="3324" width="13" style="1" customWidth="1"/>
    <col min="3325" max="3325" width="71.42578125" style="1" customWidth="1"/>
    <col min="3326" max="3326" width="12.85546875" style="1" customWidth="1"/>
    <col min="3327" max="3327" width="17.85546875" style="1" customWidth="1"/>
    <col min="3328" max="3328" width="15.140625" style="1" customWidth="1"/>
    <col min="3329" max="3329" width="0" style="1" hidden="1" customWidth="1"/>
    <col min="3330" max="3330" width="18.42578125" style="1" customWidth="1"/>
    <col min="3331" max="3334" width="0" style="1" hidden="1" customWidth="1"/>
    <col min="3335" max="3335" width="13.42578125" style="1" customWidth="1"/>
    <col min="3336" max="3336" width="12.42578125" style="1" bestFit="1" customWidth="1"/>
    <col min="3337" max="3343" width="0" style="1" hidden="1" customWidth="1"/>
    <col min="3344" max="3579" width="9.140625" style="1"/>
    <col min="3580" max="3580" width="13" style="1" customWidth="1"/>
    <col min="3581" max="3581" width="71.42578125" style="1" customWidth="1"/>
    <col min="3582" max="3582" width="12.85546875" style="1" customWidth="1"/>
    <col min="3583" max="3583" width="17.85546875" style="1" customWidth="1"/>
    <col min="3584" max="3584" width="15.140625" style="1" customWidth="1"/>
    <col min="3585" max="3585" width="0" style="1" hidden="1" customWidth="1"/>
    <col min="3586" max="3586" width="18.42578125" style="1" customWidth="1"/>
    <col min="3587" max="3590" width="0" style="1" hidden="1" customWidth="1"/>
    <col min="3591" max="3591" width="13.42578125" style="1" customWidth="1"/>
    <col min="3592" max="3592" width="12.42578125" style="1" bestFit="1" customWidth="1"/>
    <col min="3593" max="3599" width="0" style="1" hidden="1" customWidth="1"/>
    <col min="3600" max="3835" width="9.140625" style="1"/>
    <col min="3836" max="3836" width="13" style="1" customWidth="1"/>
    <col min="3837" max="3837" width="71.42578125" style="1" customWidth="1"/>
    <col min="3838" max="3838" width="12.85546875" style="1" customWidth="1"/>
    <col min="3839" max="3839" width="17.85546875" style="1" customWidth="1"/>
    <col min="3840" max="3840" width="15.140625" style="1" customWidth="1"/>
    <col min="3841" max="3841" width="0" style="1" hidden="1" customWidth="1"/>
    <col min="3842" max="3842" width="18.42578125" style="1" customWidth="1"/>
    <col min="3843" max="3846" width="0" style="1" hidden="1" customWidth="1"/>
    <col min="3847" max="3847" width="13.42578125" style="1" customWidth="1"/>
    <col min="3848" max="3848" width="12.42578125" style="1" bestFit="1" customWidth="1"/>
    <col min="3849" max="3855" width="0" style="1" hidden="1" customWidth="1"/>
    <col min="3856" max="4091" width="9.140625" style="1"/>
    <col min="4092" max="4092" width="13" style="1" customWidth="1"/>
    <col min="4093" max="4093" width="71.42578125" style="1" customWidth="1"/>
    <col min="4094" max="4094" width="12.85546875" style="1" customWidth="1"/>
    <col min="4095" max="4095" width="17.85546875" style="1" customWidth="1"/>
    <col min="4096" max="4096" width="15.140625" style="1" customWidth="1"/>
    <col min="4097" max="4097" width="0" style="1" hidden="1" customWidth="1"/>
    <col min="4098" max="4098" width="18.42578125" style="1" customWidth="1"/>
    <col min="4099" max="4102" width="0" style="1" hidden="1" customWidth="1"/>
    <col min="4103" max="4103" width="13.42578125" style="1" customWidth="1"/>
    <col min="4104" max="4104" width="12.42578125" style="1" bestFit="1" customWidth="1"/>
    <col min="4105" max="4111" width="0" style="1" hidden="1" customWidth="1"/>
    <col min="4112" max="4347" width="9.140625" style="1"/>
    <col min="4348" max="4348" width="13" style="1" customWidth="1"/>
    <col min="4349" max="4349" width="71.42578125" style="1" customWidth="1"/>
    <col min="4350" max="4350" width="12.85546875" style="1" customWidth="1"/>
    <col min="4351" max="4351" width="17.85546875" style="1" customWidth="1"/>
    <col min="4352" max="4352" width="15.140625" style="1" customWidth="1"/>
    <col min="4353" max="4353" width="0" style="1" hidden="1" customWidth="1"/>
    <col min="4354" max="4354" width="18.42578125" style="1" customWidth="1"/>
    <col min="4355" max="4358" width="0" style="1" hidden="1" customWidth="1"/>
    <col min="4359" max="4359" width="13.42578125" style="1" customWidth="1"/>
    <col min="4360" max="4360" width="12.42578125" style="1" bestFit="1" customWidth="1"/>
    <col min="4361" max="4367" width="0" style="1" hidden="1" customWidth="1"/>
    <col min="4368" max="4603" width="9.140625" style="1"/>
    <col min="4604" max="4604" width="13" style="1" customWidth="1"/>
    <col min="4605" max="4605" width="71.42578125" style="1" customWidth="1"/>
    <col min="4606" max="4606" width="12.85546875" style="1" customWidth="1"/>
    <col min="4607" max="4607" width="17.85546875" style="1" customWidth="1"/>
    <col min="4608" max="4608" width="15.140625" style="1" customWidth="1"/>
    <col min="4609" max="4609" width="0" style="1" hidden="1" customWidth="1"/>
    <col min="4610" max="4610" width="18.42578125" style="1" customWidth="1"/>
    <col min="4611" max="4614" width="0" style="1" hidden="1" customWidth="1"/>
    <col min="4615" max="4615" width="13.42578125" style="1" customWidth="1"/>
    <col min="4616" max="4616" width="12.42578125" style="1" bestFit="1" customWidth="1"/>
    <col min="4617" max="4623" width="0" style="1" hidden="1" customWidth="1"/>
    <col min="4624" max="4859" width="9.140625" style="1"/>
    <col min="4860" max="4860" width="13" style="1" customWidth="1"/>
    <col min="4861" max="4861" width="71.42578125" style="1" customWidth="1"/>
    <col min="4862" max="4862" width="12.85546875" style="1" customWidth="1"/>
    <col min="4863" max="4863" width="17.85546875" style="1" customWidth="1"/>
    <col min="4864" max="4864" width="15.140625" style="1" customWidth="1"/>
    <col min="4865" max="4865" width="0" style="1" hidden="1" customWidth="1"/>
    <col min="4866" max="4866" width="18.42578125" style="1" customWidth="1"/>
    <col min="4867" max="4870" width="0" style="1" hidden="1" customWidth="1"/>
    <col min="4871" max="4871" width="13.42578125" style="1" customWidth="1"/>
    <col min="4872" max="4872" width="12.42578125" style="1" bestFit="1" customWidth="1"/>
    <col min="4873" max="4879" width="0" style="1" hidden="1" customWidth="1"/>
    <col min="4880" max="5115" width="9.140625" style="1"/>
    <col min="5116" max="5116" width="13" style="1" customWidth="1"/>
    <col min="5117" max="5117" width="71.42578125" style="1" customWidth="1"/>
    <col min="5118" max="5118" width="12.85546875" style="1" customWidth="1"/>
    <col min="5119" max="5119" width="17.85546875" style="1" customWidth="1"/>
    <col min="5120" max="5120" width="15.140625" style="1" customWidth="1"/>
    <col min="5121" max="5121" width="0" style="1" hidden="1" customWidth="1"/>
    <col min="5122" max="5122" width="18.42578125" style="1" customWidth="1"/>
    <col min="5123" max="5126" width="0" style="1" hidden="1" customWidth="1"/>
    <col min="5127" max="5127" width="13.42578125" style="1" customWidth="1"/>
    <col min="5128" max="5128" width="12.42578125" style="1" bestFit="1" customWidth="1"/>
    <col min="5129" max="5135" width="0" style="1" hidden="1" customWidth="1"/>
    <col min="5136" max="5371" width="9.140625" style="1"/>
    <col min="5372" max="5372" width="13" style="1" customWidth="1"/>
    <col min="5373" max="5373" width="71.42578125" style="1" customWidth="1"/>
    <col min="5374" max="5374" width="12.85546875" style="1" customWidth="1"/>
    <col min="5375" max="5375" width="17.85546875" style="1" customWidth="1"/>
    <col min="5376" max="5376" width="15.140625" style="1" customWidth="1"/>
    <col min="5377" max="5377" width="0" style="1" hidden="1" customWidth="1"/>
    <col min="5378" max="5378" width="18.42578125" style="1" customWidth="1"/>
    <col min="5379" max="5382" width="0" style="1" hidden="1" customWidth="1"/>
    <col min="5383" max="5383" width="13.42578125" style="1" customWidth="1"/>
    <col min="5384" max="5384" width="12.42578125" style="1" bestFit="1" customWidth="1"/>
    <col min="5385" max="5391" width="0" style="1" hidden="1" customWidth="1"/>
    <col min="5392" max="5627" width="9.140625" style="1"/>
    <col min="5628" max="5628" width="13" style="1" customWidth="1"/>
    <col min="5629" max="5629" width="71.42578125" style="1" customWidth="1"/>
    <col min="5630" max="5630" width="12.85546875" style="1" customWidth="1"/>
    <col min="5631" max="5631" width="17.85546875" style="1" customWidth="1"/>
    <col min="5632" max="5632" width="15.140625" style="1" customWidth="1"/>
    <col min="5633" max="5633" width="0" style="1" hidden="1" customWidth="1"/>
    <col min="5634" max="5634" width="18.42578125" style="1" customWidth="1"/>
    <col min="5635" max="5638" width="0" style="1" hidden="1" customWidth="1"/>
    <col min="5639" max="5639" width="13.42578125" style="1" customWidth="1"/>
    <col min="5640" max="5640" width="12.42578125" style="1" bestFit="1" customWidth="1"/>
    <col min="5641" max="5647" width="0" style="1" hidden="1" customWidth="1"/>
    <col min="5648" max="5883" width="9.140625" style="1"/>
    <col min="5884" max="5884" width="13" style="1" customWidth="1"/>
    <col min="5885" max="5885" width="71.42578125" style="1" customWidth="1"/>
    <col min="5886" max="5886" width="12.85546875" style="1" customWidth="1"/>
    <col min="5887" max="5887" width="17.85546875" style="1" customWidth="1"/>
    <col min="5888" max="5888" width="15.140625" style="1" customWidth="1"/>
    <col min="5889" max="5889" width="0" style="1" hidden="1" customWidth="1"/>
    <col min="5890" max="5890" width="18.42578125" style="1" customWidth="1"/>
    <col min="5891" max="5894" width="0" style="1" hidden="1" customWidth="1"/>
    <col min="5895" max="5895" width="13.42578125" style="1" customWidth="1"/>
    <col min="5896" max="5896" width="12.42578125" style="1" bestFit="1" customWidth="1"/>
    <col min="5897" max="5903" width="0" style="1" hidden="1" customWidth="1"/>
    <col min="5904" max="6139" width="9.140625" style="1"/>
    <col min="6140" max="6140" width="13" style="1" customWidth="1"/>
    <col min="6141" max="6141" width="71.42578125" style="1" customWidth="1"/>
    <col min="6142" max="6142" width="12.85546875" style="1" customWidth="1"/>
    <col min="6143" max="6143" width="17.85546875" style="1" customWidth="1"/>
    <col min="6144" max="6144" width="15.140625" style="1" customWidth="1"/>
    <col min="6145" max="6145" width="0" style="1" hidden="1" customWidth="1"/>
    <col min="6146" max="6146" width="18.42578125" style="1" customWidth="1"/>
    <col min="6147" max="6150" width="0" style="1" hidden="1" customWidth="1"/>
    <col min="6151" max="6151" width="13.42578125" style="1" customWidth="1"/>
    <col min="6152" max="6152" width="12.42578125" style="1" bestFit="1" customWidth="1"/>
    <col min="6153" max="6159" width="0" style="1" hidden="1" customWidth="1"/>
    <col min="6160" max="6395" width="9.140625" style="1"/>
    <col min="6396" max="6396" width="13" style="1" customWidth="1"/>
    <col min="6397" max="6397" width="71.42578125" style="1" customWidth="1"/>
    <col min="6398" max="6398" width="12.85546875" style="1" customWidth="1"/>
    <col min="6399" max="6399" width="17.85546875" style="1" customWidth="1"/>
    <col min="6400" max="6400" width="15.140625" style="1" customWidth="1"/>
    <col min="6401" max="6401" width="0" style="1" hidden="1" customWidth="1"/>
    <col min="6402" max="6402" width="18.42578125" style="1" customWidth="1"/>
    <col min="6403" max="6406" width="0" style="1" hidden="1" customWidth="1"/>
    <col min="6407" max="6407" width="13.42578125" style="1" customWidth="1"/>
    <col min="6408" max="6408" width="12.42578125" style="1" bestFit="1" customWidth="1"/>
    <col min="6409" max="6415" width="0" style="1" hidden="1" customWidth="1"/>
    <col min="6416" max="6651" width="9.140625" style="1"/>
    <col min="6652" max="6652" width="13" style="1" customWidth="1"/>
    <col min="6653" max="6653" width="71.42578125" style="1" customWidth="1"/>
    <col min="6654" max="6654" width="12.85546875" style="1" customWidth="1"/>
    <col min="6655" max="6655" width="17.85546875" style="1" customWidth="1"/>
    <col min="6656" max="6656" width="15.140625" style="1" customWidth="1"/>
    <col min="6657" max="6657" width="0" style="1" hidden="1" customWidth="1"/>
    <col min="6658" max="6658" width="18.42578125" style="1" customWidth="1"/>
    <col min="6659" max="6662" width="0" style="1" hidden="1" customWidth="1"/>
    <col min="6663" max="6663" width="13.42578125" style="1" customWidth="1"/>
    <col min="6664" max="6664" width="12.42578125" style="1" bestFit="1" customWidth="1"/>
    <col min="6665" max="6671" width="0" style="1" hidden="1" customWidth="1"/>
    <col min="6672" max="6907" width="9.140625" style="1"/>
    <col min="6908" max="6908" width="13" style="1" customWidth="1"/>
    <col min="6909" max="6909" width="71.42578125" style="1" customWidth="1"/>
    <col min="6910" max="6910" width="12.85546875" style="1" customWidth="1"/>
    <col min="6911" max="6911" width="17.85546875" style="1" customWidth="1"/>
    <col min="6912" max="6912" width="15.140625" style="1" customWidth="1"/>
    <col min="6913" max="6913" width="0" style="1" hidden="1" customWidth="1"/>
    <col min="6914" max="6914" width="18.42578125" style="1" customWidth="1"/>
    <col min="6915" max="6918" width="0" style="1" hidden="1" customWidth="1"/>
    <col min="6919" max="6919" width="13.42578125" style="1" customWidth="1"/>
    <col min="6920" max="6920" width="12.42578125" style="1" bestFit="1" customWidth="1"/>
    <col min="6921" max="6927" width="0" style="1" hidden="1" customWidth="1"/>
    <col min="6928" max="7163" width="9.140625" style="1"/>
    <col min="7164" max="7164" width="13" style="1" customWidth="1"/>
    <col min="7165" max="7165" width="71.42578125" style="1" customWidth="1"/>
    <col min="7166" max="7166" width="12.85546875" style="1" customWidth="1"/>
    <col min="7167" max="7167" width="17.85546875" style="1" customWidth="1"/>
    <col min="7168" max="7168" width="15.140625" style="1" customWidth="1"/>
    <col min="7169" max="7169" width="0" style="1" hidden="1" customWidth="1"/>
    <col min="7170" max="7170" width="18.42578125" style="1" customWidth="1"/>
    <col min="7171" max="7174" width="0" style="1" hidden="1" customWidth="1"/>
    <col min="7175" max="7175" width="13.42578125" style="1" customWidth="1"/>
    <col min="7176" max="7176" width="12.42578125" style="1" bestFit="1" customWidth="1"/>
    <col min="7177" max="7183" width="0" style="1" hidden="1" customWidth="1"/>
    <col min="7184" max="7419" width="9.140625" style="1"/>
    <col min="7420" max="7420" width="13" style="1" customWidth="1"/>
    <col min="7421" max="7421" width="71.42578125" style="1" customWidth="1"/>
    <col min="7422" max="7422" width="12.85546875" style="1" customWidth="1"/>
    <col min="7423" max="7423" width="17.85546875" style="1" customWidth="1"/>
    <col min="7424" max="7424" width="15.140625" style="1" customWidth="1"/>
    <col min="7425" max="7425" width="0" style="1" hidden="1" customWidth="1"/>
    <col min="7426" max="7426" width="18.42578125" style="1" customWidth="1"/>
    <col min="7427" max="7430" width="0" style="1" hidden="1" customWidth="1"/>
    <col min="7431" max="7431" width="13.42578125" style="1" customWidth="1"/>
    <col min="7432" max="7432" width="12.42578125" style="1" bestFit="1" customWidth="1"/>
    <col min="7433" max="7439" width="0" style="1" hidden="1" customWidth="1"/>
    <col min="7440" max="7675" width="9.140625" style="1"/>
    <col min="7676" max="7676" width="13" style="1" customWidth="1"/>
    <col min="7677" max="7677" width="71.42578125" style="1" customWidth="1"/>
    <col min="7678" max="7678" width="12.85546875" style="1" customWidth="1"/>
    <col min="7679" max="7679" width="17.85546875" style="1" customWidth="1"/>
    <col min="7680" max="7680" width="15.140625" style="1" customWidth="1"/>
    <col min="7681" max="7681" width="0" style="1" hidden="1" customWidth="1"/>
    <col min="7682" max="7682" width="18.42578125" style="1" customWidth="1"/>
    <col min="7683" max="7686" width="0" style="1" hidden="1" customWidth="1"/>
    <col min="7687" max="7687" width="13.42578125" style="1" customWidth="1"/>
    <col min="7688" max="7688" width="12.42578125" style="1" bestFit="1" customWidth="1"/>
    <col min="7689" max="7695" width="0" style="1" hidden="1" customWidth="1"/>
    <col min="7696" max="7931" width="9.140625" style="1"/>
    <col min="7932" max="7932" width="13" style="1" customWidth="1"/>
    <col min="7933" max="7933" width="71.42578125" style="1" customWidth="1"/>
    <col min="7934" max="7934" width="12.85546875" style="1" customWidth="1"/>
    <col min="7935" max="7935" width="17.85546875" style="1" customWidth="1"/>
    <col min="7936" max="7936" width="15.140625" style="1" customWidth="1"/>
    <col min="7937" max="7937" width="0" style="1" hidden="1" customWidth="1"/>
    <col min="7938" max="7938" width="18.42578125" style="1" customWidth="1"/>
    <col min="7939" max="7942" width="0" style="1" hidden="1" customWidth="1"/>
    <col min="7943" max="7943" width="13.42578125" style="1" customWidth="1"/>
    <col min="7944" max="7944" width="12.42578125" style="1" bestFit="1" customWidth="1"/>
    <col min="7945" max="7951" width="0" style="1" hidden="1" customWidth="1"/>
    <col min="7952" max="8187" width="9.140625" style="1"/>
    <col min="8188" max="8188" width="13" style="1" customWidth="1"/>
    <col min="8189" max="8189" width="71.42578125" style="1" customWidth="1"/>
    <col min="8190" max="8190" width="12.85546875" style="1" customWidth="1"/>
    <col min="8191" max="8191" width="17.85546875" style="1" customWidth="1"/>
    <col min="8192" max="8192" width="15.140625" style="1" customWidth="1"/>
    <col min="8193" max="8193" width="0" style="1" hidden="1" customWidth="1"/>
    <col min="8194" max="8194" width="18.42578125" style="1" customWidth="1"/>
    <col min="8195" max="8198" width="0" style="1" hidden="1" customWidth="1"/>
    <col min="8199" max="8199" width="13.42578125" style="1" customWidth="1"/>
    <col min="8200" max="8200" width="12.42578125" style="1" bestFit="1" customWidth="1"/>
    <col min="8201" max="8207" width="0" style="1" hidden="1" customWidth="1"/>
    <col min="8208" max="8443" width="9.140625" style="1"/>
    <col min="8444" max="8444" width="13" style="1" customWidth="1"/>
    <col min="8445" max="8445" width="71.42578125" style="1" customWidth="1"/>
    <col min="8446" max="8446" width="12.85546875" style="1" customWidth="1"/>
    <col min="8447" max="8447" width="17.85546875" style="1" customWidth="1"/>
    <col min="8448" max="8448" width="15.140625" style="1" customWidth="1"/>
    <col min="8449" max="8449" width="0" style="1" hidden="1" customWidth="1"/>
    <col min="8450" max="8450" width="18.42578125" style="1" customWidth="1"/>
    <col min="8451" max="8454" width="0" style="1" hidden="1" customWidth="1"/>
    <col min="8455" max="8455" width="13.42578125" style="1" customWidth="1"/>
    <col min="8456" max="8456" width="12.42578125" style="1" bestFit="1" customWidth="1"/>
    <col min="8457" max="8463" width="0" style="1" hidden="1" customWidth="1"/>
    <col min="8464" max="8699" width="9.140625" style="1"/>
    <col min="8700" max="8700" width="13" style="1" customWidth="1"/>
    <col min="8701" max="8701" width="71.42578125" style="1" customWidth="1"/>
    <col min="8702" max="8702" width="12.85546875" style="1" customWidth="1"/>
    <col min="8703" max="8703" width="17.85546875" style="1" customWidth="1"/>
    <col min="8704" max="8704" width="15.140625" style="1" customWidth="1"/>
    <col min="8705" max="8705" width="0" style="1" hidden="1" customWidth="1"/>
    <col min="8706" max="8706" width="18.42578125" style="1" customWidth="1"/>
    <col min="8707" max="8710" width="0" style="1" hidden="1" customWidth="1"/>
    <col min="8711" max="8711" width="13.42578125" style="1" customWidth="1"/>
    <col min="8712" max="8712" width="12.42578125" style="1" bestFit="1" customWidth="1"/>
    <col min="8713" max="8719" width="0" style="1" hidden="1" customWidth="1"/>
    <col min="8720" max="8955" width="9.140625" style="1"/>
    <col min="8956" max="8956" width="13" style="1" customWidth="1"/>
    <col min="8957" max="8957" width="71.42578125" style="1" customWidth="1"/>
    <col min="8958" max="8958" width="12.85546875" style="1" customWidth="1"/>
    <col min="8959" max="8959" width="17.85546875" style="1" customWidth="1"/>
    <col min="8960" max="8960" width="15.140625" style="1" customWidth="1"/>
    <col min="8961" max="8961" width="0" style="1" hidden="1" customWidth="1"/>
    <col min="8962" max="8962" width="18.42578125" style="1" customWidth="1"/>
    <col min="8963" max="8966" width="0" style="1" hidden="1" customWidth="1"/>
    <col min="8967" max="8967" width="13.42578125" style="1" customWidth="1"/>
    <col min="8968" max="8968" width="12.42578125" style="1" bestFit="1" customWidth="1"/>
    <col min="8969" max="8975" width="0" style="1" hidden="1" customWidth="1"/>
    <col min="8976" max="9211" width="9.140625" style="1"/>
    <col min="9212" max="9212" width="13" style="1" customWidth="1"/>
    <col min="9213" max="9213" width="71.42578125" style="1" customWidth="1"/>
    <col min="9214" max="9214" width="12.85546875" style="1" customWidth="1"/>
    <col min="9215" max="9215" width="17.85546875" style="1" customWidth="1"/>
    <col min="9216" max="9216" width="15.140625" style="1" customWidth="1"/>
    <col min="9217" max="9217" width="0" style="1" hidden="1" customWidth="1"/>
    <col min="9218" max="9218" width="18.42578125" style="1" customWidth="1"/>
    <col min="9219" max="9222" width="0" style="1" hidden="1" customWidth="1"/>
    <col min="9223" max="9223" width="13.42578125" style="1" customWidth="1"/>
    <col min="9224" max="9224" width="12.42578125" style="1" bestFit="1" customWidth="1"/>
    <col min="9225" max="9231" width="0" style="1" hidden="1" customWidth="1"/>
    <col min="9232" max="9467" width="9.140625" style="1"/>
    <col min="9468" max="9468" width="13" style="1" customWidth="1"/>
    <col min="9469" max="9469" width="71.42578125" style="1" customWidth="1"/>
    <col min="9470" max="9470" width="12.85546875" style="1" customWidth="1"/>
    <col min="9471" max="9471" width="17.85546875" style="1" customWidth="1"/>
    <col min="9472" max="9472" width="15.140625" style="1" customWidth="1"/>
    <col min="9473" max="9473" width="0" style="1" hidden="1" customWidth="1"/>
    <col min="9474" max="9474" width="18.42578125" style="1" customWidth="1"/>
    <col min="9475" max="9478" width="0" style="1" hidden="1" customWidth="1"/>
    <col min="9479" max="9479" width="13.42578125" style="1" customWidth="1"/>
    <col min="9480" max="9480" width="12.42578125" style="1" bestFit="1" customWidth="1"/>
    <col min="9481" max="9487" width="0" style="1" hidden="1" customWidth="1"/>
    <col min="9488" max="9723" width="9.140625" style="1"/>
    <col min="9724" max="9724" width="13" style="1" customWidth="1"/>
    <col min="9725" max="9725" width="71.42578125" style="1" customWidth="1"/>
    <col min="9726" max="9726" width="12.85546875" style="1" customWidth="1"/>
    <col min="9727" max="9727" width="17.85546875" style="1" customWidth="1"/>
    <col min="9728" max="9728" width="15.140625" style="1" customWidth="1"/>
    <col min="9729" max="9729" width="0" style="1" hidden="1" customWidth="1"/>
    <col min="9730" max="9730" width="18.42578125" style="1" customWidth="1"/>
    <col min="9731" max="9734" width="0" style="1" hidden="1" customWidth="1"/>
    <col min="9735" max="9735" width="13.42578125" style="1" customWidth="1"/>
    <col min="9736" max="9736" width="12.42578125" style="1" bestFit="1" customWidth="1"/>
    <col min="9737" max="9743" width="0" style="1" hidden="1" customWidth="1"/>
    <col min="9744" max="9979" width="9.140625" style="1"/>
    <col min="9980" max="9980" width="13" style="1" customWidth="1"/>
    <col min="9981" max="9981" width="71.42578125" style="1" customWidth="1"/>
    <col min="9982" max="9982" width="12.85546875" style="1" customWidth="1"/>
    <col min="9983" max="9983" width="17.85546875" style="1" customWidth="1"/>
    <col min="9984" max="9984" width="15.140625" style="1" customWidth="1"/>
    <col min="9985" max="9985" width="0" style="1" hidden="1" customWidth="1"/>
    <col min="9986" max="9986" width="18.42578125" style="1" customWidth="1"/>
    <col min="9987" max="9990" width="0" style="1" hidden="1" customWidth="1"/>
    <col min="9991" max="9991" width="13.42578125" style="1" customWidth="1"/>
    <col min="9992" max="9992" width="12.42578125" style="1" bestFit="1" customWidth="1"/>
    <col min="9993" max="9999" width="0" style="1" hidden="1" customWidth="1"/>
    <col min="10000" max="10235" width="9.140625" style="1"/>
    <col min="10236" max="10236" width="13" style="1" customWidth="1"/>
    <col min="10237" max="10237" width="71.42578125" style="1" customWidth="1"/>
    <col min="10238" max="10238" width="12.85546875" style="1" customWidth="1"/>
    <col min="10239" max="10239" width="17.85546875" style="1" customWidth="1"/>
    <col min="10240" max="10240" width="15.140625" style="1" customWidth="1"/>
    <col min="10241" max="10241" width="0" style="1" hidden="1" customWidth="1"/>
    <col min="10242" max="10242" width="18.42578125" style="1" customWidth="1"/>
    <col min="10243" max="10246" width="0" style="1" hidden="1" customWidth="1"/>
    <col min="10247" max="10247" width="13.42578125" style="1" customWidth="1"/>
    <col min="10248" max="10248" width="12.42578125" style="1" bestFit="1" customWidth="1"/>
    <col min="10249" max="10255" width="0" style="1" hidden="1" customWidth="1"/>
    <col min="10256" max="10491" width="9.140625" style="1"/>
    <col min="10492" max="10492" width="13" style="1" customWidth="1"/>
    <col min="10493" max="10493" width="71.42578125" style="1" customWidth="1"/>
    <col min="10494" max="10494" width="12.85546875" style="1" customWidth="1"/>
    <col min="10495" max="10495" width="17.85546875" style="1" customWidth="1"/>
    <col min="10496" max="10496" width="15.140625" style="1" customWidth="1"/>
    <col min="10497" max="10497" width="0" style="1" hidden="1" customWidth="1"/>
    <col min="10498" max="10498" width="18.42578125" style="1" customWidth="1"/>
    <col min="10499" max="10502" width="0" style="1" hidden="1" customWidth="1"/>
    <col min="10503" max="10503" width="13.42578125" style="1" customWidth="1"/>
    <col min="10504" max="10504" width="12.42578125" style="1" bestFit="1" customWidth="1"/>
    <col min="10505" max="10511" width="0" style="1" hidden="1" customWidth="1"/>
    <col min="10512" max="10747" width="9.140625" style="1"/>
    <col min="10748" max="10748" width="13" style="1" customWidth="1"/>
    <col min="10749" max="10749" width="71.42578125" style="1" customWidth="1"/>
    <col min="10750" max="10750" width="12.85546875" style="1" customWidth="1"/>
    <col min="10751" max="10751" width="17.85546875" style="1" customWidth="1"/>
    <col min="10752" max="10752" width="15.140625" style="1" customWidth="1"/>
    <col min="10753" max="10753" width="0" style="1" hidden="1" customWidth="1"/>
    <col min="10754" max="10754" width="18.42578125" style="1" customWidth="1"/>
    <col min="10755" max="10758" width="0" style="1" hidden="1" customWidth="1"/>
    <col min="10759" max="10759" width="13.42578125" style="1" customWidth="1"/>
    <col min="10760" max="10760" width="12.42578125" style="1" bestFit="1" customWidth="1"/>
    <col min="10761" max="10767" width="0" style="1" hidden="1" customWidth="1"/>
    <col min="10768" max="11003" width="9.140625" style="1"/>
    <col min="11004" max="11004" width="13" style="1" customWidth="1"/>
    <col min="11005" max="11005" width="71.42578125" style="1" customWidth="1"/>
    <col min="11006" max="11006" width="12.85546875" style="1" customWidth="1"/>
    <col min="11007" max="11007" width="17.85546875" style="1" customWidth="1"/>
    <col min="11008" max="11008" width="15.140625" style="1" customWidth="1"/>
    <col min="11009" max="11009" width="0" style="1" hidden="1" customWidth="1"/>
    <col min="11010" max="11010" width="18.42578125" style="1" customWidth="1"/>
    <col min="11011" max="11014" width="0" style="1" hidden="1" customWidth="1"/>
    <col min="11015" max="11015" width="13.42578125" style="1" customWidth="1"/>
    <col min="11016" max="11016" width="12.42578125" style="1" bestFit="1" customWidth="1"/>
    <col min="11017" max="11023" width="0" style="1" hidden="1" customWidth="1"/>
    <col min="11024" max="11259" width="9.140625" style="1"/>
    <col min="11260" max="11260" width="13" style="1" customWidth="1"/>
    <col min="11261" max="11261" width="71.42578125" style="1" customWidth="1"/>
    <col min="11262" max="11262" width="12.85546875" style="1" customWidth="1"/>
    <col min="11263" max="11263" width="17.85546875" style="1" customWidth="1"/>
    <col min="11264" max="11264" width="15.140625" style="1" customWidth="1"/>
    <col min="11265" max="11265" width="0" style="1" hidden="1" customWidth="1"/>
    <col min="11266" max="11266" width="18.42578125" style="1" customWidth="1"/>
    <col min="11267" max="11270" width="0" style="1" hidden="1" customWidth="1"/>
    <col min="11271" max="11271" width="13.42578125" style="1" customWidth="1"/>
    <col min="11272" max="11272" width="12.42578125" style="1" bestFit="1" customWidth="1"/>
    <col min="11273" max="11279" width="0" style="1" hidden="1" customWidth="1"/>
    <col min="11280" max="11515" width="9.140625" style="1"/>
    <col min="11516" max="11516" width="13" style="1" customWidth="1"/>
    <col min="11517" max="11517" width="71.42578125" style="1" customWidth="1"/>
    <col min="11518" max="11518" width="12.85546875" style="1" customWidth="1"/>
    <col min="11519" max="11519" width="17.85546875" style="1" customWidth="1"/>
    <col min="11520" max="11520" width="15.140625" style="1" customWidth="1"/>
    <col min="11521" max="11521" width="0" style="1" hidden="1" customWidth="1"/>
    <col min="11522" max="11522" width="18.42578125" style="1" customWidth="1"/>
    <col min="11523" max="11526" width="0" style="1" hidden="1" customWidth="1"/>
    <col min="11527" max="11527" width="13.42578125" style="1" customWidth="1"/>
    <col min="11528" max="11528" width="12.42578125" style="1" bestFit="1" customWidth="1"/>
    <col min="11529" max="11535" width="0" style="1" hidden="1" customWidth="1"/>
    <col min="11536" max="11771" width="9.140625" style="1"/>
    <col min="11772" max="11772" width="13" style="1" customWidth="1"/>
    <col min="11773" max="11773" width="71.42578125" style="1" customWidth="1"/>
    <col min="11774" max="11774" width="12.85546875" style="1" customWidth="1"/>
    <col min="11775" max="11775" width="17.85546875" style="1" customWidth="1"/>
    <col min="11776" max="11776" width="15.140625" style="1" customWidth="1"/>
    <col min="11777" max="11777" width="0" style="1" hidden="1" customWidth="1"/>
    <col min="11778" max="11778" width="18.42578125" style="1" customWidth="1"/>
    <col min="11779" max="11782" width="0" style="1" hidden="1" customWidth="1"/>
    <col min="11783" max="11783" width="13.42578125" style="1" customWidth="1"/>
    <col min="11784" max="11784" width="12.42578125" style="1" bestFit="1" customWidth="1"/>
    <col min="11785" max="11791" width="0" style="1" hidden="1" customWidth="1"/>
    <col min="11792" max="12027" width="9.140625" style="1"/>
    <col min="12028" max="12028" width="13" style="1" customWidth="1"/>
    <col min="12029" max="12029" width="71.42578125" style="1" customWidth="1"/>
    <col min="12030" max="12030" width="12.85546875" style="1" customWidth="1"/>
    <col min="12031" max="12031" width="17.85546875" style="1" customWidth="1"/>
    <col min="12032" max="12032" width="15.140625" style="1" customWidth="1"/>
    <col min="12033" max="12033" width="0" style="1" hidden="1" customWidth="1"/>
    <col min="12034" max="12034" width="18.42578125" style="1" customWidth="1"/>
    <col min="12035" max="12038" width="0" style="1" hidden="1" customWidth="1"/>
    <col min="12039" max="12039" width="13.42578125" style="1" customWidth="1"/>
    <col min="12040" max="12040" width="12.42578125" style="1" bestFit="1" customWidth="1"/>
    <col min="12041" max="12047" width="0" style="1" hidden="1" customWidth="1"/>
    <col min="12048" max="12283" width="9.140625" style="1"/>
    <col min="12284" max="12284" width="13" style="1" customWidth="1"/>
    <col min="12285" max="12285" width="71.42578125" style="1" customWidth="1"/>
    <col min="12286" max="12286" width="12.85546875" style="1" customWidth="1"/>
    <col min="12287" max="12287" width="17.85546875" style="1" customWidth="1"/>
    <col min="12288" max="12288" width="15.140625" style="1" customWidth="1"/>
    <col min="12289" max="12289" width="0" style="1" hidden="1" customWidth="1"/>
    <col min="12290" max="12290" width="18.42578125" style="1" customWidth="1"/>
    <col min="12291" max="12294" width="0" style="1" hidden="1" customWidth="1"/>
    <col min="12295" max="12295" width="13.42578125" style="1" customWidth="1"/>
    <col min="12296" max="12296" width="12.42578125" style="1" bestFit="1" customWidth="1"/>
    <col min="12297" max="12303" width="0" style="1" hidden="1" customWidth="1"/>
    <col min="12304" max="12539" width="9.140625" style="1"/>
    <col min="12540" max="12540" width="13" style="1" customWidth="1"/>
    <col min="12541" max="12541" width="71.42578125" style="1" customWidth="1"/>
    <col min="12542" max="12542" width="12.85546875" style="1" customWidth="1"/>
    <col min="12543" max="12543" width="17.85546875" style="1" customWidth="1"/>
    <col min="12544" max="12544" width="15.140625" style="1" customWidth="1"/>
    <col min="12545" max="12545" width="0" style="1" hidden="1" customWidth="1"/>
    <col min="12546" max="12546" width="18.42578125" style="1" customWidth="1"/>
    <col min="12547" max="12550" width="0" style="1" hidden="1" customWidth="1"/>
    <col min="12551" max="12551" width="13.42578125" style="1" customWidth="1"/>
    <col min="12552" max="12552" width="12.42578125" style="1" bestFit="1" customWidth="1"/>
    <col min="12553" max="12559" width="0" style="1" hidden="1" customWidth="1"/>
    <col min="12560" max="12795" width="9.140625" style="1"/>
    <col min="12796" max="12796" width="13" style="1" customWidth="1"/>
    <col min="12797" max="12797" width="71.42578125" style="1" customWidth="1"/>
    <col min="12798" max="12798" width="12.85546875" style="1" customWidth="1"/>
    <col min="12799" max="12799" width="17.85546875" style="1" customWidth="1"/>
    <col min="12800" max="12800" width="15.140625" style="1" customWidth="1"/>
    <col min="12801" max="12801" width="0" style="1" hidden="1" customWidth="1"/>
    <col min="12802" max="12802" width="18.42578125" style="1" customWidth="1"/>
    <col min="12803" max="12806" width="0" style="1" hidden="1" customWidth="1"/>
    <col min="12807" max="12807" width="13.42578125" style="1" customWidth="1"/>
    <col min="12808" max="12808" width="12.42578125" style="1" bestFit="1" customWidth="1"/>
    <col min="12809" max="12815" width="0" style="1" hidden="1" customWidth="1"/>
    <col min="12816" max="13051" width="9.140625" style="1"/>
    <col min="13052" max="13052" width="13" style="1" customWidth="1"/>
    <col min="13053" max="13053" width="71.42578125" style="1" customWidth="1"/>
    <col min="13054" max="13054" width="12.85546875" style="1" customWidth="1"/>
    <col min="13055" max="13055" width="17.85546875" style="1" customWidth="1"/>
    <col min="13056" max="13056" width="15.140625" style="1" customWidth="1"/>
    <col min="13057" max="13057" width="0" style="1" hidden="1" customWidth="1"/>
    <col min="13058" max="13058" width="18.42578125" style="1" customWidth="1"/>
    <col min="13059" max="13062" width="0" style="1" hidden="1" customWidth="1"/>
    <col min="13063" max="13063" width="13.42578125" style="1" customWidth="1"/>
    <col min="13064" max="13064" width="12.42578125" style="1" bestFit="1" customWidth="1"/>
    <col min="13065" max="13071" width="0" style="1" hidden="1" customWidth="1"/>
    <col min="13072" max="13307" width="9.140625" style="1"/>
    <col min="13308" max="13308" width="13" style="1" customWidth="1"/>
    <col min="13309" max="13309" width="71.42578125" style="1" customWidth="1"/>
    <col min="13310" max="13310" width="12.85546875" style="1" customWidth="1"/>
    <col min="13311" max="13311" width="17.85546875" style="1" customWidth="1"/>
    <col min="13312" max="13312" width="15.140625" style="1" customWidth="1"/>
    <col min="13313" max="13313" width="0" style="1" hidden="1" customWidth="1"/>
    <col min="13314" max="13314" width="18.42578125" style="1" customWidth="1"/>
    <col min="13315" max="13318" width="0" style="1" hidden="1" customWidth="1"/>
    <col min="13319" max="13319" width="13.42578125" style="1" customWidth="1"/>
    <col min="13320" max="13320" width="12.42578125" style="1" bestFit="1" customWidth="1"/>
    <col min="13321" max="13327" width="0" style="1" hidden="1" customWidth="1"/>
    <col min="13328" max="13563" width="9.140625" style="1"/>
    <col min="13564" max="13564" width="13" style="1" customWidth="1"/>
    <col min="13565" max="13565" width="71.42578125" style="1" customWidth="1"/>
    <col min="13566" max="13566" width="12.85546875" style="1" customWidth="1"/>
    <col min="13567" max="13567" width="17.85546875" style="1" customWidth="1"/>
    <col min="13568" max="13568" width="15.140625" style="1" customWidth="1"/>
    <col min="13569" max="13569" width="0" style="1" hidden="1" customWidth="1"/>
    <col min="13570" max="13570" width="18.42578125" style="1" customWidth="1"/>
    <col min="13571" max="13574" width="0" style="1" hidden="1" customWidth="1"/>
    <col min="13575" max="13575" width="13.42578125" style="1" customWidth="1"/>
    <col min="13576" max="13576" width="12.42578125" style="1" bestFit="1" customWidth="1"/>
    <col min="13577" max="13583" width="0" style="1" hidden="1" customWidth="1"/>
    <col min="13584" max="13819" width="9.140625" style="1"/>
    <col min="13820" max="13820" width="13" style="1" customWidth="1"/>
    <col min="13821" max="13821" width="71.42578125" style="1" customWidth="1"/>
    <col min="13822" max="13822" width="12.85546875" style="1" customWidth="1"/>
    <col min="13823" max="13823" width="17.85546875" style="1" customWidth="1"/>
    <col min="13824" max="13824" width="15.140625" style="1" customWidth="1"/>
    <col min="13825" max="13825" width="0" style="1" hidden="1" customWidth="1"/>
    <col min="13826" max="13826" width="18.42578125" style="1" customWidth="1"/>
    <col min="13827" max="13830" width="0" style="1" hidden="1" customWidth="1"/>
    <col min="13831" max="13831" width="13.42578125" style="1" customWidth="1"/>
    <col min="13832" max="13832" width="12.42578125" style="1" bestFit="1" customWidth="1"/>
    <col min="13833" max="13839" width="0" style="1" hidden="1" customWidth="1"/>
    <col min="13840" max="14075" width="9.140625" style="1"/>
    <col min="14076" max="14076" width="13" style="1" customWidth="1"/>
    <col min="14077" max="14077" width="71.42578125" style="1" customWidth="1"/>
    <col min="14078" max="14078" width="12.85546875" style="1" customWidth="1"/>
    <col min="14079" max="14079" width="17.85546875" style="1" customWidth="1"/>
    <col min="14080" max="14080" width="15.140625" style="1" customWidth="1"/>
    <col min="14081" max="14081" width="0" style="1" hidden="1" customWidth="1"/>
    <col min="14082" max="14082" width="18.42578125" style="1" customWidth="1"/>
    <col min="14083" max="14086" width="0" style="1" hidden="1" customWidth="1"/>
    <col min="14087" max="14087" width="13.42578125" style="1" customWidth="1"/>
    <col min="14088" max="14088" width="12.42578125" style="1" bestFit="1" customWidth="1"/>
    <col min="14089" max="14095" width="0" style="1" hidden="1" customWidth="1"/>
    <col min="14096" max="14331" width="9.140625" style="1"/>
    <col min="14332" max="14332" width="13" style="1" customWidth="1"/>
    <col min="14333" max="14333" width="71.42578125" style="1" customWidth="1"/>
    <col min="14334" max="14334" width="12.85546875" style="1" customWidth="1"/>
    <col min="14335" max="14335" width="17.85546875" style="1" customWidth="1"/>
    <col min="14336" max="14336" width="15.140625" style="1" customWidth="1"/>
    <col min="14337" max="14337" width="0" style="1" hidden="1" customWidth="1"/>
    <col min="14338" max="14338" width="18.42578125" style="1" customWidth="1"/>
    <col min="14339" max="14342" width="0" style="1" hidden="1" customWidth="1"/>
    <col min="14343" max="14343" width="13.42578125" style="1" customWidth="1"/>
    <col min="14344" max="14344" width="12.42578125" style="1" bestFit="1" customWidth="1"/>
    <col min="14345" max="14351" width="0" style="1" hidden="1" customWidth="1"/>
    <col min="14352" max="14587" width="9.140625" style="1"/>
    <col min="14588" max="14588" width="13" style="1" customWidth="1"/>
    <col min="14589" max="14589" width="71.42578125" style="1" customWidth="1"/>
    <col min="14590" max="14590" width="12.85546875" style="1" customWidth="1"/>
    <col min="14591" max="14591" width="17.85546875" style="1" customWidth="1"/>
    <col min="14592" max="14592" width="15.140625" style="1" customWidth="1"/>
    <col min="14593" max="14593" width="0" style="1" hidden="1" customWidth="1"/>
    <col min="14594" max="14594" width="18.42578125" style="1" customWidth="1"/>
    <col min="14595" max="14598" width="0" style="1" hidden="1" customWidth="1"/>
    <col min="14599" max="14599" width="13.42578125" style="1" customWidth="1"/>
    <col min="14600" max="14600" width="12.42578125" style="1" bestFit="1" customWidth="1"/>
    <col min="14601" max="14607" width="0" style="1" hidden="1" customWidth="1"/>
    <col min="14608" max="14843" width="9.140625" style="1"/>
    <col min="14844" max="14844" width="13" style="1" customWidth="1"/>
    <col min="14845" max="14845" width="71.42578125" style="1" customWidth="1"/>
    <col min="14846" max="14846" width="12.85546875" style="1" customWidth="1"/>
    <col min="14847" max="14847" width="17.85546875" style="1" customWidth="1"/>
    <col min="14848" max="14848" width="15.140625" style="1" customWidth="1"/>
    <col min="14849" max="14849" width="0" style="1" hidden="1" customWidth="1"/>
    <col min="14850" max="14850" width="18.42578125" style="1" customWidth="1"/>
    <col min="14851" max="14854" width="0" style="1" hidden="1" customWidth="1"/>
    <col min="14855" max="14855" width="13.42578125" style="1" customWidth="1"/>
    <col min="14856" max="14856" width="12.42578125" style="1" bestFit="1" customWidth="1"/>
    <col min="14857" max="14863" width="0" style="1" hidden="1" customWidth="1"/>
    <col min="14864" max="15099" width="9.140625" style="1"/>
    <col min="15100" max="15100" width="13" style="1" customWidth="1"/>
    <col min="15101" max="15101" width="71.42578125" style="1" customWidth="1"/>
    <col min="15102" max="15102" width="12.85546875" style="1" customWidth="1"/>
    <col min="15103" max="15103" width="17.85546875" style="1" customWidth="1"/>
    <col min="15104" max="15104" width="15.140625" style="1" customWidth="1"/>
    <col min="15105" max="15105" width="0" style="1" hidden="1" customWidth="1"/>
    <col min="15106" max="15106" width="18.42578125" style="1" customWidth="1"/>
    <col min="15107" max="15110" width="0" style="1" hidden="1" customWidth="1"/>
    <col min="15111" max="15111" width="13.42578125" style="1" customWidth="1"/>
    <col min="15112" max="15112" width="12.42578125" style="1" bestFit="1" customWidth="1"/>
    <col min="15113" max="15119" width="0" style="1" hidden="1" customWidth="1"/>
    <col min="15120" max="15355" width="9.140625" style="1"/>
    <col min="15356" max="15356" width="13" style="1" customWidth="1"/>
    <col min="15357" max="15357" width="71.42578125" style="1" customWidth="1"/>
    <col min="15358" max="15358" width="12.85546875" style="1" customWidth="1"/>
    <col min="15359" max="15359" width="17.85546875" style="1" customWidth="1"/>
    <col min="15360" max="15360" width="15.140625" style="1" customWidth="1"/>
    <col min="15361" max="15361" width="0" style="1" hidden="1" customWidth="1"/>
    <col min="15362" max="15362" width="18.42578125" style="1" customWidth="1"/>
    <col min="15363" max="15366" width="0" style="1" hidden="1" customWidth="1"/>
    <col min="15367" max="15367" width="13.42578125" style="1" customWidth="1"/>
    <col min="15368" max="15368" width="12.42578125" style="1" bestFit="1" customWidth="1"/>
    <col min="15369" max="15375" width="0" style="1" hidden="1" customWidth="1"/>
    <col min="15376" max="15611" width="9.140625" style="1"/>
    <col min="15612" max="15612" width="13" style="1" customWidth="1"/>
    <col min="15613" max="15613" width="71.42578125" style="1" customWidth="1"/>
    <col min="15614" max="15614" width="12.85546875" style="1" customWidth="1"/>
    <col min="15615" max="15615" width="17.85546875" style="1" customWidth="1"/>
    <col min="15616" max="15616" width="15.140625" style="1" customWidth="1"/>
    <col min="15617" max="15617" width="0" style="1" hidden="1" customWidth="1"/>
    <col min="15618" max="15618" width="18.42578125" style="1" customWidth="1"/>
    <col min="15619" max="15622" width="0" style="1" hidden="1" customWidth="1"/>
    <col min="15623" max="15623" width="13.42578125" style="1" customWidth="1"/>
    <col min="15624" max="15624" width="12.42578125" style="1" bestFit="1" customWidth="1"/>
    <col min="15625" max="15631" width="0" style="1" hidden="1" customWidth="1"/>
    <col min="15632" max="15867" width="9.140625" style="1"/>
    <col min="15868" max="15868" width="13" style="1" customWidth="1"/>
    <col min="15869" max="15869" width="71.42578125" style="1" customWidth="1"/>
    <col min="15870" max="15870" width="12.85546875" style="1" customWidth="1"/>
    <col min="15871" max="15871" width="17.85546875" style="1" customWidth="1"/>
    <col min="15872" max="15872" width="15.140625" style="1" customWidth="1"/>
    <col min="15873" max="15873" width="0" style="1" hidden="1" customWidth="1"/>
    <col min="15874" max="15874" width="18.42578125" style="1" customWidth="1"/>
    <col min="15875" max="15878" width="0" style="1" hidden="1" customWidth="1"/>
    <col min="15879" max="15879" width="13.42578125" style="1" customWidth="1"/>
    <col min="15880" max="15880" width="12.42578125" style="1" bestFit="1" customWidth="1"/>
    <col min="15881" max="15887" width="0" style="1" hidden="1" customWidth="1"/>
    <col min="15888" max="16123" width="9.140625" style="1"/>
    <col min="16124" max="16124" width="13" style="1" customWidth="1"/>
    <col min="16125" max="16125" width="71.42578125" style="1" customWidth="1"/>
    <col min="16126" max="16126" width="12.85546875" style="1" customWidth="1"/>
    <col min="16127" max="16127" width="17.85546875" style="1" customWidth="1"/>
    <col min="16128" max="16128" width="15.140625" style="1" customWidth="1"/>
    <col min="16129" max="16129" width="0" style="1" hidden="1" customWidth="1"/>
    <col min="16130" max="16130" width="18.42578125" style="1" customWidth="1"/>
    <col min="16131" max="16134" width="0" style="1" hidden="1" customWidth="1"/>
    <col min="16135" max="16135" width="13.42578125" style="1" customWidth="1"/>
    <col min="16136" max="16136" width="12.42578125" style="1" bestFit="1" customWidth="1"/>
    <col min="16137" max="16143" width="0" style="1" hidden="1" customWidth="1"/>
    <col min="16144" max="16384" width="9.140625" style="1"/>
  </cols>
  <sheetData>
    <row r="1" spans="1:8" ht="21.95" customHeight="1" x14ac:dyDescent="0.35">
      <c r="A1" s="40"/>
      <c r="B1" s="170"/>
      <c r="C1" s="9"/>
      <c r="D1" s="171"/>
      <c r="E1" s="133"/>
      <c r="F1" s="133"/>
      <c r="G1" s="133"/>
      <c r="H1" s="6" t="s">
        <v>455</v>
      </c>
    </row>
    <row r="2" spans="1:8" ht="20.100000000000001" customHeight="1" x14ac:dyDescent="0.3">
      <c r="A2" s="149"/>
      <c r="B2" s="170"/>
      <c r="C2" s="9"/>
      <c r="D2" s="171"/>
      <c r="E2" s="133"/>
      <c r="F2" s="133"/>
      <c r="G2" s="133"/>
      <c r="H2" s="6" t="s">
        <v>17</v>
      </c>
    </row>
    <row r="3" spans="1:8" ht="20.100000000000001" customHeight="1" x14ac:dyDescent="0.3">
      <c r="A3" s="149"/>
      <c r="B3" s="133"/>
      <c r="C3" s="172"/>
      <c r="D3" s="173"/>
      <c r="E3" s="5"/>
      <c r="F3" s="133"/>
      <c r="G3" s="133"/>
      <c r="H3" s="6" t="s">
        <v>16</v>
      </c>
    </row>
    <row r="4" spans="1:8" ht="20.100000000000001" customHeight="1" x14ac:dyDescent="0.3">
      <c r="A4" s="149"/>
      <c r="B4" s="174"/>
      <c r="C4" s="175"/>
      <c r="D4" s="171"/>
      <c r="E4" s="133"/>
      <c r="F4" s="133"/>
      <c r="G4" s="206"/>
      <c r="H4" s="6" t="s">
        <v>591</v>
      </c>
    </row>
    <row r="5" spans="1:8" ht="45.6" customHeight="1" x14ac:dyDescent="0.2">
      <c r="A5" s="316" t="s">
        <v>543</v>
      </c>
      <c r="B5" s="317"/>
      <c r="C5" s="317"/>
      <c r="D5" s="317"/>
      <c r="E5" s="317"/>
      <c r="F5" s="317"/>
      <c r="G5" s="317"/>
      <c r="H5" s="317"/>
    </row>
    <row r="6" spans="1:8" ht="18.75" customHeight="1" x14ac:dyDescent="0.3">
      <c r="A6" s="176"/>
      <c r="B6" s="176"/>
      <c r="C6" s="176"/>
      <c r="D6" s="176"/>
      <c r="E6" s="176"/>
      <c r="F6" s="176"/>
      <c r="G6" s="133"/>
      <c r="H6" s="98" t="s">
        <v>387</v>
      </c>
    </row>
    <row r="7" spans="1:8" ht="29.25" customHeight="1" x14ac:dyDescent="0.2">
      <c r="A7" s="318" t="s">
        <v>18</v>
      </c>
      <c r="B7" s="318" t="s">
        <v>19</v>
      </c>
      <c r="C7" s="318" t="s">
        <v>388</v>
      </c>
      <c r="D7" s="323" t="s">
        <v>21</v>
      </c>
      <c r="E7" s="318" t="s">
        <v>22</v>
      </c>
      <c r="F7" s="325" t="s">
        <v>386</v>
      </c>
      <c r="G7" s="322" t="s">
        <v>385</v>
      </c>
      <c r="H7" s="322"/>
    </row>
    <row r="8" spans="1:8" ht="24" customHeight="1" x14ac:dyDescent="0.25">
      <c r="A8" s="319"/>
      <c r="B8" s="319"/>
      <c r="C8" s="319"/>
      <c r="D8" s="324"/>
      <c r="E8" s="319"/>
      <c r="F8" s="326"/>
      <c r="G8" s="177" t="s">
        <v>389</v>
      </c>
      <c r="H8" s="177" t="s">
        <v>530</v>
      </c>
    </row>
    <row r="9" spans="1:8" ht="15.75" x14ac:dyDescent="0.25">
      <c r="A9" s="178">
        <v>1</v>
      </c>
      <c r="B9" s="178">
        <v>2</v>
      </c>
      <c r="C9" s="178" t="s">
        <v>23</v>
      </c>
      <c r="D9" s="179">
        <v>4</v>
      </c>
      <c r="E9" s="178" t="s">
        <v>25</v>
      </c>
      <c r="F9" s="180">
        <v>6</v>
      </c>
      <c r="G9" s="181">
        <v>7</v>
      </c>
      <c r="H9" s="181">
        <v>8</v>
      </c>
    </row>
    <row r="10" spans="1:8" s="32" customFormat="1" ht="20.100000000000001" customHeight="1" x14ac:dyDescent="0.3">
      <c r="A10" s="234" t="s">
        <v>28</v>
      </c>
      <c r="B10" s="246" t="s">
        <v>29</v>
      </c>
      <c r="C10" s="234" t="s">
        <v>173</v>
      </c>
      <c r="D10" s="242"/>
      <c r="E10" s="234"/>
      <c r="F10" s="240">
        <f>F11+F14+F23+F40+F43</f>
        <v>30699.200000000001</v>
      </c>
      <c r="G10" s="240">
        <f>G11+G14+G23+G40+G43</f>
        <v>32966.050000000003</v>
      </c>
      <c r="H10" s="240">
        <f>H11+H14+H23+H40+H43</f>
        <v>35513.980000000003</v>
      </c>
    </row>
    <row r="11" spans="1:8" s="32" customFormat="1" ht="36.950000000000003" customHeight="1" x14ac:dyDescent="0.3">
      <c r="A11" s="16" t="s">
        <v>0</v>
      </c>
      <c r="B11" s="160" t="s">
        <v>144</v>
      </c>
      <c r="C11" s="16" t="s">
        <v>174</v>
      </c>
      <c r="D11" s="38"/>
      <c r="E11" s="16"/>
      <c r="F11" s="139">
        <f>F12</f>
        <v>936.3</v>
      </c>
      <c r="G11" s="139">
        <f t="shared" ref="G11:H12" si="0">G12</f>
        <v>982.4</v>
      </c>
      <c r="H11" s="139">
        <f t="shared" si="0"/>
        <v>1042.5</v>
      </c>
    </row>
    <row r="12" spans="1:8" s="32" customFormat="1" ht="18.95" customHeight="1" x14ac:dyDescent="0.3">
      <c r="A12" s="16" t="s">
        <v>1</v>
      </c>
      <c r="B12" s="182" t="s">
        <v>146</v>
      </c>
      <c r="C12" s="16" t="s">
        <v>175</v>
      </c>
      <c r="D12" s="38" t="str">
        <f>[2]ВСР!E115</f>
        <v>00201 00010</v>
      </c>
      <c r="E12" s="16"/>
      <c r="F12" s="140">
        <f>F13</f>
        <v>936.3</v>
      </c>
      <c r="G12" s="140">
        <f t="shared" si="0"/>
        <v>982.4</v>
      </c>
      <c r="H12" s="140">
        <f t="shared" si="0"/>
        <v>1042.5</v>
      </c>
    </row>
    <row r="13" spans="1:8" s="32" customFormat="1" ht="77.45" customHeight="1" x14ac:dyDescent="0.3">
      <c r="A13" s="16" t="s">
        <v>2</v>
      </c>
      <c r="B13" s="15" t="s">
        <v>37</v>
      </c>
      <c r="C13" s="16" t="s">
        <v>175</v>
      </c>
      <c r="D13" s="38" t="str">
        <f>[2]ВСР!E116</f>
        <v>00201 00010</v>
      </c>
      <c r="E13" s="16" t="s">
        <v>38</v>
      </c>
      <c r="F13" s="140">
        <f>ВСР!G124</f>
        <v>936.3</v>
      </c>
      <c r="G13" s="140">
        <f>ВСР!H124</f>
        <v>982.4</v>
      </c>
      <c r="H13" s="140">
        <f>ВСР!I124</f>
        <v>1042.5</v>
      </c>
    </row>
    <row r="14" spans="1:8" s="32" customFormat="1" ht="55.5" customHeight="1" x14ac:dyDescent="0.3">
      <c r="A14" s="158" t="s">
        <v>39</v>
      </c>
      <c r="B14" s="161" t="s">
        <v>148</v>
      </c>
      <c r="C14" s="158" t="s">
        <v>176</v>
      </c>
      <c r="D14" s="184"/>
      <c r="E14" s="158"/>
      <c r="F14" s="139">
        <f>F17+F19+F15</f>
        <v>4282.6000000000004</v>
      </c>
      <c r="G14" s="139">
        <f t="shared" ref="G14:H14" si="1">G17+G19+G15</f>
        <v>4616.5</v>
      </c>
      <c r="H14" s="139">
        <f t="shared" si="1"/>
        <v>4909.28</v>
      </c>
    </row>
    <row r="15" spans="1:8" s="32" customFormat="1" ht="17.100000000000001" customHeight="1" x14ac:dyDescent="0.3">
      <c r="A15" s="158" t="s">
        <v>42</v>
      </c>
      <c r="B15" s="161" t="s">
        <v>177</v>
      </c>
      <c r="C15" s="158" t="s">
        <v>178</v>
      </c>
      <c r="D15" s="158" t="str">
        <f>[2]ВСР!E118</f>
        <v>00203 00021</v>
      </c>
      <c r="E15" s="158"/>
      <c r="F15" s="139">
        <f>F16</f>
        <v>0</v>
      </c>
      <c r="G15" s="139">
        <f t="shared" ref="G15:H15" si="2">G16</f>
        <v>0</v>
      </c>
      <c r="H15" s="139">
        <f t="shared" si="2"/>
        <v>0</v>
      </c>
    </row>
    <row r="16" spans="1:8" s="32" customFormat="1" ht="108.95" customHeight="1" x14ac:dyDescent="0.3">
      <c r="A16" s="158" t="s">
        <v>57</v>
      </c>
      <c r="B16" s="161" t="s">
        <v>152</v>
      </c>
      <c r="C16" s="158" t="s">
        <v>178</v>
      </c>
      <c r="D16" s="184" t="s">
        <v>151</v>
      </c>
      <c r="E16" s="158" t="s">
        <v>38</v>
      </c>
      <c r="F16" s="139">
        <f>ВСР!G127</f>
        <v>0</v>
      </c>
      <c r="G16" s="183">
        <v>0</v>
      </c>
      <c r="H16" s="183">
        <v>0</v>
      </c>
    </row>
    <row r="17" spans="1:15" s="32" customFormat="1" ht="36.950000000000003" customHeight="1" x14ac:dyDescent="0.3">
      <c r="A17" s="158" t="s">
        <v>43</v>
      </c>
      <c r="B17" s="161" t="s">
        <v>153</v>
      </c>
      <c r="C17" s="158" t="s">
        <v>178</v>
      </c>
      <c r="D17" s="158" t="str">
        <f>[2]ВСР!E120</f>
        <v>00203 00022</v>
      </c>
      <c r="E17" s="158"/>
      <c r="F17" s="139">
        <f>F18</f>
        <v>152.30000000000001</v>
      </c>
      <c r="G17" s="139">
        <f t="shared" ref="G17:H17" si="3">G18</f>
        <v>158.30000000000001</v>
      </c>
      <c r="H17" s="139">
        <f t="shared" si="3"/>
        <v>164.7</v>
      </c>
    </row>
    <row r="18" spans="1:15" s="32" customFormat="1" ht="110.1" customHeight="1" x14ac:dyDescent="0.3">
      <c r="A18" s="158" t="s">
        <v>277</v>
      </c>
      <c r="B18" s="161" t="s">
        <v>152</v>
      </c>
      <c r="C18" s="158" t="s">
        <v>178</v>
      </c>
      <c r="D18" s="184" t="s">
        <v>154</v>
      </c>
      <c r="E18" s="158" t="s">
        <v>38</v>
      </c>
      <c r="F18" s="139">
        <f>ВСР!G129</f>
        <v>152.30000000000001</v>
      </c>
      <c r="G18" s="139">
        <f>ВСР!H129</f>
        <v>158.30000000000001</v>
      </c>
      <c r="H18" s="139">
        <f>ВСР!I129</f>
        <v>164.7</v>
      </c>
    </row>
    <row r="19" spans="1:15" s="32" customFormat="1" ht="35.1" customHeight="1" x14ac:dyDescent="0.3">
      <c r="A19" s="158" t="s">
        <v>46</v>
      </c>
      <c r="B19" s="161" t="s">
        <v>155</v>
      </c>
      <c r="C19" s="158" t="s">
        <v>178</v>
      </c>
      <c r="D19" s="158" t="str">
        <f>[2]ВСР!E123</f>
        <v>00204 00020</v>
      </c>
      <c r="E19" s="158"/>
      <c r="F19" s="139">
        <f>F20+F21+F22</f>
        <v>4130.3</v>
      </c>
      <c r="G19" s="139">
        <f t="shared" ref="G19" si="4">G20+G21+G22</f>
        <v>4458.2</v>
      </c>
      <c r="H19" s="139">
        <f>H20+H21+H22</f>
        <v>4744.58</v>
      </c>
    </row>
    <row r="20" spans="1:15" s="32" customFormat="1" ht="72" customHeight="1" x14ac:dyDescent="0.3">
      <c r="A20" s="158" t="s">
        <v>298</v>
      </c>
      <c r="B20" s="15" t="s">
        <v>37</v>
      </c>
      <c r="C20" s="158" t="s">
        <v>178</v>
      </c>
      <c r="D20" s="184" t="s">
        <v>156</v>
      </c>
      <c r="E20" s="158" t="s">
        <v>38</v>
      </c>
      <c r="F20" s="139">
        <f>ВСР!G131</f>
        <v>2428.5</v>
      </c>
      <c r="G20" s="139" t="str">
        <f>ВСР!H131</f>
        <v>2488,2</v>
      </c>
      <c r="H20" s="139">
        <f>ВСР!I131</f>
        <v>2578</v>
      </c>
    </row>
    <row r="21" spans="1:15" s="32" customFormat="1" ht="33.75" customHeight="1" x14ac:dyDescent="0.3">
      <c r="A21" s="158" t="s">
        <v>299</v>
      </c>
      <c r="B21" s="17" t="s">
        <v>451</v>
      </c>
      <c r="C21" s="158" t="s">
        <v>178</v>
      </c>
      <c r="D21" s="184" t="s">
        <v>156</v>
      </c>
      <c r="E21" s="158" t="s">
        <v>45</v>
      </c>
      <c r="F21" s="139">
        <f>ВСР!G132</f>
        <v>1700.8</v>
      </c>
      <c r="G21" s="139">
        <f>ВСР!H132</f>
        <v>1969</v>
      </c>
      <c r="H21" s="139">
        <f>ВСР!I132</f>
        <v>2165.58</v>
      </c>
    </row>
    <row r="22" spans="1:15" s="32" customFormat="1" ht="20.100000000000001" customHeight="1" x14ac:dyDescent="0.3">
      <c r="A22" s="158" t="s">
        <v>300</v>
      </c>
      <c r="B22" s="161" t="s">
        <v>47</v>
      </c>
      <c r="C22" s="158" t="s">
        <v>179</v>
      </c>
      <c r="D22" s="184" t="s">
        <v>156</v>
      </c>
      <c r="E22" s="158" t="s">
        <v>48</v>
      </c>
      <c r="F22" s="139">
        <f>ВСР!G133</f>
        <v>1</v>
      </c>
      <c r="G22" s="139">
        <f>ВСР!H133</f>
        <v>1</v>
      </c>
      <c r="H22" s="139">
        <f>ВСР!I133</f>
        <v>1</v>
      </c>
    </row>
    <row r="23" spans="1:15" s="32" customFormat="1" ht="54" customHeight="1" x14ac:dyDescent="0.3">
      <c r="A23" s="158" t="s">
        <v>8</v>
      </c>
      <c r="B23" s="159" t="s">
        <v>32</v>
      </c>
      <c r="C23" s="158" t="s">
        <v>180</v>
      </c>
      <c r="D23" s="184"/>
      <c r="E23" s="158"/>
      <c r="F23" s="139">
        <f>F24+F26+F30</f>
        <v>8396.0499999999993</v>
      </c>
      <c r="G23" s="139">
        <f t="shared" ref="G23:H23" si="5">G24+G26+G30</f>
        <v>9876.15</v>
      </c>
      <c r="H23" s="139">
        <f t="shared" si="5"/>
        <v>10230.300000000001</v>
      </c>
    </row>
    <row r="24" spans="1:15" s="32" customFormat="1" ht="20.100000000000001" customHeight="1" x14ac:dyDescent="0.3">
      <c r="A24" s="158" t="s">
        <v>60</v>
      </c>
      <c r="B24" s="15" t="s">
        <v>35</v>
      </c>
      <c r="C24" s="158" t="s">
        <v>181</v>
      </c>
      <c r="D24" s="158" t="str">
        <f>[2]ВСР!E15</f>
        <v>00205 00030</v>
      </c>
      <c r="E24" s="158"/>
      <c r="F24" s="139">
        <f>F25</f>
        <v>1074</v>
      </c>
      <c r="G24" s="139">
        <f t="shared" ref="G24:H24" si="6">G25</f>
        <v>1115.9000000000001</v>
      </c>
      <c r="H24" s="139">
        <f t="shared" si="6"/>
        <v>1161.5999999999999</v>
      </c>
    </row>
    <row r="25" spans="1:15" s="32" customFormat="1" ht="78.75" customHeight="1" x14ac:dyDescent="0.3">
      <c r="A25" s="158" t="s">
        <v>63</v>
      </c>
      <c r="B25" s="15" t="s">
        <v>37</v>
      </c>
      <c r="C25" s="158" t="s">
        <v>181</v>
      </c>
      <c r="D25" s="184" t="s">
        <v>36</v>
      </c>
      <c r="E25" s="16" t="s">
        <v>38</v>
      </c>
      <c r="F25" s="140">
        <f>ВСР!G15</f>
        <v>1074</v>
      </c>
      <c r="G25" s="140">
        <f>ВСР!H15</f>
        <v>1115.9000000000001</v>
      </c>
      <c r="H25" s="140">
        <f>ВСР!I15</f>
        <v>1161.5999999999999</v>
      </c>
    </row>
    <row r="26" spans="1:15" ht="74.099999999999994" customHeight="1" x14ac:dyDescent="0.3">
      <c r="A26" s="54" t="s">
        <v>64</v>
      </c>
      <c r="B26" s="185" t="s">
        <v>40</v>
      </c>
      <c r="C26" s="158" t="s">
        <v>181</v>
      </c>
      <c r="D26" s="158" t="str">
        <f>[2]ВСР!E17</f>
        <v>00206 00030</v>
      </c>
      <c r="E26" s="158"/>
      <c r="F26" s="139">
        <f>F27+F28+F29</f>
        <v>4721.2</v>
      </c>
      <c r="G26" s="139">
        <f t="shared" ref="G26:H26" si="7">G27+G28+G29</f>
        <v>6057.75</v>
      </c>
      <c r="H26" s="139">
        <f t="shared" si="7"/>
        <v>6255.6</v>
      </c>
    </row>
    <row r="27" spans="1:15" ht="78" customHeight="1" x14ac:dyDescent="0.3">
      <c r="A27" s="166" t="s">
        <v>67</v>
      </c>
      <c r="B27" s="186" t="s">
        <v>37</v>
      </c>
      <c r="C27" s="16" t="s">
        <v>181</v>
      </c>
      <c r="D27" s="184" t="s">
        <v>41</v>
      </c>
      <c r="E27" s="158" t="s">
        <v>38</v>
      </c>
      <c r="F27" s="139">
        <f>ВСР!G17</f>
        <v>3513.8</v>
      </c>
      <c r="G27" s="139">
        <f>ВСР!H17</f>
        <v>4672.0999999999995</v>
      </c>
      <c r="H27" s="139">
        <f>ВСР!I17</f>
        <v>4829.3</v>
      </c>
    </row>
    <row r="28" spans="1:15" s="4" customFormat="1" ht="41.45" customHeight="1" x14ac:dyDescent="0.3">
      <c r="A28" s="187" t="s">
        <v>480</v>
      </c>
      <c r="B28" s="188" t="s">
        <v>451</v>
      </c>
      <c r="C28" s="16" t="s">
        <v>181</v>
      </c>
      <c r="D28" s="184" t="s">
        <v>41</v>
      </c>
      <c r="E28" s="158" t="s">
        <v>45</v>
      </c>
      <c r="F28" s="139">
        <f>ВСР!G18</f>
        <v>1201.5</v>
      </c>
      <c r="G28" s="139">
        <f>ВСР!H18</f>
        <v>1380.65</v>
      </c>
      <c r="H28" s="139">
        <f>ВСР!I18</f>
        <v>1421.3</v>
      </c>
      <c r="I28" s="1"/>
      <c r="J28" s="1"/>
      <c r="K28" s="1"/>
      <c r="L28" s="1"/>
      <c r="M28" s="1"/>
      <c r="N28" s="1"/>
      <c r="O28" s="1"/>
    </row>
    <row r="29" spans="1:15" ht="22.5" customHeight="1" x14ac:dyDescent="0.3">
      <c r="A29" s="187" t="s">
        <v>481</v>
      </c>
      <c r="B29" s="189" t="s">
        <v>47</v>
      </c>
      <c r="C29" s="158" t="s">
        <v>181</v>
      </c>
      <c r="D29" s="184" t="s">
        <v>41</v>
      </c>
      <c r="E29" s="158" t="s">
        <v>48</v>
      </c>
      <c r="F29" s="140">
        <f>ВСР!G19</f>
        <v>5.9</v>
      </c>
      <c r="G29" s="140" t="str">
        <f>ВСР!H19</f>
        <v>5</v>
      </c>
      <c r="H29" s="140">
        <f>ВСР!I19</f>
        <v>5</v>
      </c>
    </row>
    <row r="30" spans="1:15" ht="93.75" x14ac:dyDescent="0.3">
      <c r="A30" s="54" t="s">
        <v>68</v>
      </c>
      <c r="B30" s="18" t="s">
        <v>51</v>
      </c>
      <c r="C30" s="16" t="s">
        <v>181</v>
      </c>
      <c r="D30" s="21" t="str">
        <f>[2]ВСР!E22</f>
        <v>00200 G0850</v>
      </c>
      <c r="E30" s="16"/>
      <c r="F30" s="140">
        <f>SUM(F31:F32)</f>
        <v>2600.85</v>
      </c>
      <c r="G30" s="140">
        <f t="shared" ref="G30:H30" si="8">SUM(G31:G32)</f>
        <v>2702.5</v>
      </c>
      <c r="H30" s="140">
        <f t="shared" si="8"/>
        <v>2813.1000000000004</v>
      </c>
    </row>
    <row r="31" spans="1:15" ht="77.25" customHeight="1" x14ac:dyDescent="0.3">
      <c r="A31" s="187" t="s">
        <v>69</v>
      </c>
      <c r="B31" s="18" t="s">
        <v>37</v>
      </c>
      <c r="C31" s="16" t="s">
        <v>181</v>
      </c>
      <c r="D31" s="39" t="s">
        <v>52</v>
      </c>
      <c r="E31" s="16" t="s">
        <v>38</v>
      </c>
      <c r="F31" s="140">
        <f>ВСР!G21</f>
        <v>2395.75</v>
      </c>
      <c r="G31" s="140">
        <f>ВСР!H21</f>
        <v>2489.1999999999998</v>
      </c>
      <c r="H31" s="140">
        <f>ВСР!I21</f>
        <v>2524.3000000000002</v>
      </c>
    </row>
    <row r="32" spans="1:15" ht="37.5" x14ac:dyDescent="0.3">
      <c r="A32" s="54" t="s">
        <v>361</v>
      </c>
      <c r="B32" s="17" t="s">
        <v>44</v>
      </c>
      <c r="C32" s="16" t="s">
        <v>181</v>
      </c>
      <c r="D32" s="39" t="s">
        <v>52</v>
      </c>
      <c r="E32" s="16" t="s">
        <v>45</v>
      </c>
      <c r="F32" s="140">
        <f>ВСР!G22</f>
        <v>205.1</v>
      </c>
      <c r="G32" s="140">
        <f>ВСР!H22</f>
        <v>213.3</v>
      </c>
      <c r="H32" s="140">
        <f>ВСР!I22</f>
        <v>288.8</v>
      </c>
    </row>
    <row r="33" spans="1:8" ht="37.5" x14ac:dyDescent="0.3">
      <c r="A33" s="54" t="s">
        <v>9</v>
      </c>
      <c r="B33" s="22" t="s">
        <v>408</v>
      </c>
      <c r="C33" s="16" t="s">
        <v>203</v>
      </c>
      <c r="D33" s="21"/>
      <c r="E33" s="16"/>
      <c r="F33" s="140">
        <f>F34+F37</f>
        <v>0</v>
      </c>
      <c r="G33" s="140">
        <f t="shared" ref="G33:H33" si="9">G34+G37</f>
        <v>0</v>
      </c>
      <c r="H33" s="140">
        <f t="shared" si="9"/>
        <v>0</v>
      </c>
    </row>
    <row r="34" spans="1:8" ht="75" x14ac:dyDescent="0.3">
      <c r="A34" s="54" t="s">
        <v>475</v>
      </c>
      <c r="B34" s="22" t="s">
        <v>148</v>
      </c>
      <c r="C34" s="16" t="s">
        <v>425</v>
      </c>
      <c r="D34" s="21" t="s">
        <v>477</v>
      </c>
      <c r="E34" s="16"/>
      <c r="F34" s="140">
        <f>F35+F36</f>
        <v>0</v>
      </c>
      <c r="G34" s="190">
        <v>0</v>
      </c>
      <c r="H34" s="190">
        <v>0</v>
      </c>
    </row>
    <row r="35" spans="1:8" ht="112.5" x14ac:dyDescent="0.3">
      <c r="A35" s="54" t="s">
        <v>482</v>
      </c>
      <c r="B35" s="22" t="s">
        <v>37</v>
      </c>
      <c r="C35" s="16" t="s">
        <v>425</v>
      </c>
      <c r="D35" s="21" t="s">
        <v>477</v>
      </c>
      <c r="E35" s="16" t="s">
        <v>38</v>
      </c>
      <c r="F35" s="140">
        <v>0</v>
      </c>
      <c r="G35" s="190">
        <v>0</v>
      </c>
      <c r="H35" s="190">
        <v>0</v>
      </c>
    </row>
    <row r="36" spans="1:8" ht="37.5" x14ac:dyDescent="0.3">
      <c r="A36" s="54" t="s">
        <v>482</v>
      </c>
      <c r="B36" s="22" t="s">
        <v>44</v>
      </c>
      <c r="C36" s="16" t="s">
        <v>425</v>
      </c>
      <c r="D36" s="21" t="s">
        <v>477</v>
      </c>
      <c r="E36" s="16" t="s">
        <v>45</v>
      </c>
      <c r="F36" s="140">
        <f>ВСР!G149</f>
        <v>0</v>
      </c>
      <c r="G36" s="140">
        <f>ВСР!H149</f>
        <v>0</v>
      </c>
      <c r="H36" s="140">
        <f>ВСР!I149</f>
        <v>0</v>
      </c>
    </row>
    <row r="37" spans="1:8" ht="56.25" x14ac:dyDescent="0.3">
      <c r="A37" s="54" t="s">
        <v>476</v>
      </c>
      <c r="B37" s="22" t="s">
        <v>462</v>
      </c>
      <c r="C37" s="16" t="s">
        <v>425</v>
      </c>
      <c r="D37" s="21" t="s">
        <v>463</v>
      </c>
      <c r="E37" s="16"/>
      <c r="F37" s="140">
        <f>F38+F39</f>
        <v>0</v>
      </c>
      <c r="G37" s="140">
        <f>G38</f>
        <v>0</v>
      </c>
      <c r="H37" s="140">
        <f>H38</f>
        <v>0</v>
      </c>
    </row>
    <row r="38" spans="1:8" ht="37.5" x14ac:dyDescent="0.3">
      <c r="A38" s="54" t="s">
        <v>483</v>
      </c>
      <c r="B38" s="22" t="s">
        <v>528</v>
      </c>
      <c r="C38" s="16" t="s">
        <v>425</v>
      </c>
      <c r="D38" s="21" t="s">
        <v>463</v>
      </c>
      <c r="E38" s="16" t="s">
        <v>526</v>
      </c>
      <c r="F38" s="140">
        <f>ВСР!G151</f>
        <v>0</v>
      </c>
      <c r="G38" s="140">
        <f>ВСР!H151</f>
        <v>0</v>
      </c>
      <c r="H38" s="140">
        <f>ВСР!I151</f>
        <v>0</v>
      </c>
    </row>
    <row r="39" spans="1:8" ht="37.5" x14ac:dyDescent="0.3">
      <c r="A39" s="54" t="s">
        <v>512</v>
      </c>
      <c r="B39" s="22" t="s">
        <v>44</v>
      </c>
      <c r="C39" s="16" t="s">
        <v>425</v>
      </c>
      <c r="D39" s="21" t="s">
        <v>463</v>
      </c>
      <c r="E39" s="16" t="s">
        <v>526</v>
      </c>
      <c r="F39" s="140">
        <f>ВСР!G152</f>
        <v>0</v>
      </c>
      <c r="G39" s="140">
        <f>ВСР!H152</f>
        <v>0</v>
      </c>
      <c r="H39" s="140">
        <f>ВСР!I152</f>
        <v>0</v>
      </c>
    </row>
    <row r="40" spans="1:8" ht="23.1" customHeight="1" x14ac:dyDescent="0.3">
      <c r="A40" s="54" t="s">
        <v>11</v>
      </c>
      <c r="B40" s="191" t="s">
        <v>182</v>
      </c>
      <c r="C40" s="16" t="s">
        <v>183</v>
      </c>
      <c r="D40" s="38"/>
      <c r="E40" s="16"/>
      <c r="F40" s="140">
        <f>F41</f>
        <v>52.8</v>
      </c>
      <c r="G40" s="140">
        <f t="shared" ref="G40:H41" si="10">G41</f>
        <v>58.3</v>
      </c>
      <c r="H40" s="140">
        <f t="shared" si="10"/>
        <v>63.9</v>
      </c>
    </row>
    <row r="41" spans="1:8" ht="18.75" x14ac:dyDescent="0.3">
      <c r="A41" s="54" t="s">
        <v>484</v>
      </c>
      <c r="B41" s="191" t="s">
        <v>55</v>
      </c>
      <c r="C41" s="16" t="s">
        <v>184</v>
      </c>
      <c r="D41" s="16" t="str">
        <f>[2]ВСР!E26</f>
        <v>07001 00060</v>
      </c>
      <c r="E41" s="16"/>
      <c r="F41" s="140">
        <f>F42</f>
        <v>52.8</v>
      </c>
      <c r="G41" s="140">
        <f t="shared" si="10"/>
        <v>58.3</v>
      </c>
      <c r="H41" s="140">
        <f t="shared" si="10"/>
        <v>63.9</v>
      </c>
    </row>
    <row r="42" spans="1:8" ht="18.75" x14ac:dyDescent="0.3">
      <c r="A42" s="54" t="s">
        <v>485</v>
      </c>
      <c r="B42" s="191" t="s">
        <v>47</v>
      </c>
      <c r="C42" s="16" t="s">
        <v>184</v>
      </c>
      <c r="D42" s="38" t="s">
        <v>56</v>
      </c>
      <c r="E42" s="16" t="s">
        <v>48</v>
      </c>
      <c r="F42" s="140">
        <f>ВСР!G25</f>
        <v>52.8</v>
      </c>
      <c r="G42" s="140">
        <f>ВСР!H25</f>
        <v>58.3</v>
      </c>
      <c r="H42" s="140">
        <f>ВСР!I25</f>
        <v>63.9</v>
      </c>
    </row>
    <row r="43" spans="1:8" ht="18.75" x14ac:dyDescent="0.3">
      <c r="A43" s="54" t="s">
        <v>426</v>
      </c>
      <c r="B43" s="191" t="s">
        <v>185</v>
      </c>
      <c r="C43" s="16" t="s">
        <v>186</v>
      </c>
      <c r="D43" s="38"/>
      <c r="E43" s="16"/>
      <c r="F43" s="140">
        <f>F55+F50+F46+F48+F52+F44+F59</f>
        <v>17031.45</v>
      </c>
      <c r="G43" s="140">
        <f t="shared" ref="G43:H43" si="11">G55+G50+G46+G48+G52+G44+G59</f>
        <v>17432.7</v>
      </c>
      <c r="H43" s="140">
        <f t="shared" si="11"/>
        <v>19268</v>
      </c>
    </row>
    <row r="44" spans="1:8" ht="37.5" x14ac:dyDescent="0.3">
      <c r="A44" s="54" t="s">
        <v>427</v>
      </c>
      <c r="B44" s="22" t="s">
        <v>61</v>
      </c>
      <c r="C44" s="16" t="s">
        <v>187</v>
      </c>
      <c r="D44" s="16" t="s">
        <v>62</v>
      </c>
      <c r="E44" s="16"/>
      <c r="F44" s="140">
        <f>F45</f>
        <v>403.6</v>
      </c>
      <c r="G44" s="140" t="str">
        <f t="shared" ref="G44:H44" si="12">G45</f>
        <v>411,5</v>
      </c>
      <c r="H44" s="140">
        <f t="shared" si="12"/>
        <v>435.3</v>
      </c>
    </row>
    <row r="45" spans="1:8" ht="37.5" x14ac:dyDescent="0.3">
      <c r="A45" s="54" t="s">
        <v>486</v>
      </c>
      <c r="B45" s="22" t="s">
        <v>44</v>
      </c>
      <c r="C45" s="16" t="s">
        <v>187</v>
      </c>
      <c r="D45" s="192">
        <v>920100070</v>
      </c>
      <c r="E45" s="16" t="s">
        <v>45</v>
      </c>
      <c r="F45" s="140">
        <f>ВСР!G28</f>
        <v>403.6</v>
      </c>
      <c r="G45" s="140" t="str">
        <f>ВСР!H28</f>
        <v>411,5</v>
      </c>
      <c r="H45" s="140">
        <f>ВСР!I28</f>
        <v>435.3</v>
      </c>
    </row>
    <row r="46" spans="1:8" s="31" customFormat="1" ht="18.75" x14ac:dyDescent="0.3">
      <c r="A46" s="54" t="s">
        <v>428</v>
      </c>
      <c r="B46" s="17" t="s">
        <v>266</v>
      </c>
      <c r="C46" s="16" t="s">
        <v>187</v>
      </c>
      <c r="D46" s="16" t="s">
        <v>267</v>
      </c>
      <c r="E46" s="16"/>
      <c r="F46" s="140">
        <f>F47</f>
        <v>230</v>
      </c>
      <c r="G46" s="140">
        <f t="shared" ref="G46:H48" si="13">G47</f>
        <v>0</v>
      </c>
      <c r="H46" s="140">
        <f t="shared" si="13"/>
        <v>0</v>
      </c>
    </row>
    <row r="47" spans="1:8" s="31" customFormat="1" ht="37.5" x14ac:dyDescent="0.3">
      <c r="A47" s="54" t="s">
        <v>487</v>
      </c>
      <c r="B47" s="22" t="s">
        <v>44</v>
      </c>
      <c r="C47" s="16" t="s">
        <v>187</v>
      </c>
      <c r="D47" s="16" t="s">
        <v>267</v>
      </c>
      <c r="E47" s="16" t="s">
        <v>45</v>
      </c>
      <c r="F47" s="140">
        <f>ВСР!G136+ВСР!G29</f>
        <v>230</v>
      </c>
      <c r="G47" s="140">
        <f>ВСР!H136+ВСР!H29</f>
        <v>0</v>
      </c>
      <c r="H47" s="140">
        <f>ВСР!I136+ВСР!I29</f>
        <v>0</v>
      </c>
    </row>
    <row r="48" spans="1:8" s="31" customFormat="1" ht="56.25" x14ac:dyDescent="0.3">
      <c r="A48" s="54" t="s">
        <v>429</v>
      </c>
      <c r="B48" s="17" t="s">
        <v>416</v>
      </c>
      <c r="C48" s="16" t="s">
        <v>187</v>
      </c>
      <c r="D48" s="16" t="s">
        <v>417</v>
      </c>
      <c r="E48" s="16"/>
      <c r="F48" s="140">
        <f>F49</f>
        <v>10</v>
      </c>
      <c r="G48" s="140" t="str">
        <f t="shared" si="13"/>
        <v>11</v>
      </c>
      <c r="H48" s="140">
        <f t="shared" si="13"/>
        <v>12</v>
      </c>
    </row>
    <row r="49" spans="1:8" s="31" customFormat="1" ht="37.5" x14ac:dyDescent="0.3">
      <c r="A49" s="54" t="s">
        <v>488</v>
      </c>
      <c r="B49" s="22" t="s">
        <v>44</v>
      </c>
      <c r="C49" s="16" t="s">
        <v>187</v>
      </c>
      <c r="D49" s="16" t="s">
        <v>417</v>
      </c>
      <c r="E49" s="16" t="s">
        <v>45</v>
      </c>
      <c r="F49" s="140">
        <f>ВСР!G32</f>
        <v>10</v>
      </c>
      <c r="G49" s="140" t="str">
        <f>ВСР!H32</f>
        <v>11</v>
      </c>
      <c r="H49" s="140">
        <f>ВСР!I32</f>
        <v>12</v>
      </c>
    </row>
    <row r="50" spans="1:8" ht="57.75" customHeight="1" x14ac:dyDescent="0.3">
      <c r="A50" s="54" t="s">
        <v>430</v>
      </c>
      <c r="B50" s="169" t="s">
        <v>244</v>
      </c>
      <c r="C50" s="158" t="s">
        <v>187</v>
      </c>
      <c r="D50" s="158" t="str">
        <f>[2]ВСР!E127</f>
        <v>09205 00440</v>
      </c>
      <c r="E50" s="158"/>
      <c r="F50" s="139">
        <f>F51</f>
        <v>96</v>
      </c>
      <c r="G50" s="139">
        <f t="shared" ref="G50:H50" si="14">G51</f>
        <v>96</v>
      </c>
      <c r="H50" s="139">
        <f t="shared" si="14"/>
        <v>96</v>
      </c>
    </row>
    <row r="51" spans="1:8" ht="18.75" x14ac:dyDescent="0.3">
      <c r="A51" s="54" t="s">
        <v>489</v>
      </c>
      <c r="B51" s="188" t="s">
        <v>47</v>
      </c>
      <c r="C51" s="158" t="s">
        <v>187</v>
      </c>
      <c r="D51" s="184" t="s">
        <v>157</v>
      </c>
      <c r="E51" s="158" t="s">
        <v>48</v>
      </c>
      <c r="F51" s="140">
        <f>ВСР!G138</f>
        <v>96</v>
      </c>
      <c r="G51" s="140">
        <f>ВСР!H138</f>
        <v>96</v>
      </c>
      <c r="H51" s="140">
        <f>ВСР!I138</f>
        <v>96</v>
      </c>
    </row>
    <row r="52" spans="1:8" ht="72.75" customHeight="1" x14ac:dyDescent="0.3">
      <c r="A52" s="54" t="s">
        <v>431</v>
      </c>
      <c r="B52" s="22" t="s">
        <v>49</v>
      </c>
      <c r="C52" s="16" t="s">
        <v>187</v>
      </c>
      <c r="D52" s="38" t="str">
        <f>D54</f>
        <v>09200 G0100</v>
      </c>
      <c r="E52" s="16"/>
      <c r="F52" s="140">
        <f>F53</f>
        <v>7.5</v>
      </c>
      <c r="G52" s="140">
        <f t="shared" ref="G52:H52" si="15">G53</f>
        <v>7.8</v>
      </c>
      <c r="H52" s="140">
        <f t="shared" si="15"/>
        <v>8.1</v>
      </c>
    </row>
    <row r="53" spans="1:8" ht="75" customHeight="1" x14ac:dyDescent="0.3">
      <c r="A53" s="54" t="s">
        <v>478</v>
      </c>
      <c r="B53" s="22" t="s">
        <v>49</v>
      </c>
      <c r="C53" s="16" t="s">
        <v>187</v>
      </c>
      <c r="D53" s="38" t="str">
        <f>D54</f>
        <v>09200 G0100</v>
      </c>
      <c r="E53" s="16"/>
      <c r="F53" s="140">
        <f>F54</f>
        <v>7.5</v>
      </c>
      <c r="G53" s="140">
        <f t="shared" ref="G53:H53" si="16">G54</f>
        <v>7.8</v>
      </c>
      <c r="H53" s="140">
        <f t="shared" si="16"/>
        <v>8.1</v>
      </c>
    </row>
    <row r="54" spans="1:8" ht="37.5" x14ac:dyDescent="0.3">
      <c r="A54" s="187" t="s">
        <v>490</v>
      </c>
      <c r="B54" s="193" t="s">
        <v>44</v>
      </c>
      <c r="C54" s="16" t="s">
        <v>187</v>
      </c>
      <c r="D54" s="16" t="str">
        <f>ВСР!E34</f>
        <v>09200 G0100</v>
      </c>
      <c r="E54" s="16" t="s">
        <v>45</v>
      </c>
      <c r="F54" s="140">
        <f>ВСР!G34</f>
        <v>7.5</v>
      </c>
      <c r="G54" s="140">
        <f>ВСР!H34</f>
        <v>7.8</v>
      </c>
      <c r="H54" s="140">
        <f>ВСР!I34</f>
        <v>8.1</v>
      </c>
    </row>
    <row r="55" spans="1:8" ht="93.75" x14ac:dyDescent="0.3">
      <c r="A55" s="54" t="s">
        <v>479</v>
      </c>
      <c r="B55" s="194" t="s">
        <v>65</v>
      </c>
      <c r="C55" s="16" t="s">
        <v>187</v>
      </c>
      <c r="D55" s="21" t="str">
        <f>[2]ВСР!E32</f>
        <v>09201 00460</v>
      </c>
      <c r="E55" s="16"/>
      <c r="F55" s="140">
        <f>F56+F57+F58</f>
        <v>16284.350000000002</v>
      </c>
      <c r="G55" s="140">
        <f t="shared" ref="G55:H55" si="17">G56+G57+G58</f>
        <v>15254.400000000001</v>
      </c>
      <c r="H55" s="140">
        <f t="shared" si="17"/>
        <v>15284.8</v>
      </c>
    </row>
    <row r="56" spans="1:8" ht="71.25" customHeight="1" x14ac:dyDescent="0.3">
      <c r="A56" s="54" t="s">
        <v>491</v>
      </c>
      <c r="B56" s="194" t="s">
        <v>37</v>
      </c>
      <c r="C56" s="16" t="s">
        <v>187</v>
      </c>
      <c r="D56" s="39" t="s">
        <v>66</v>
      </c>
      <c r="E56" s="16" t="s">
        <v>38</v>
      </c>
      <c r="F56" s="140">
        <f>ВСР!G36</f>
        <v>14220.800000000001</v>
      </c>
      <c r="G56" s="140">
        <f>ВСР!H36</f>
        <v>14220.300000000001</v>
      </c>
      <c r="H56" s="140">
        <f>ВСР!I36</f>
        <v>14219.9</v>
      </c>
    </row>
    <row r="57" spans="1:8" ht="37.5" x14ac:dyDescent="0.3">
      <c r="A57" s="54" t="s">
        <v>492</v>
      </c>
      <c r="B57" s="22" t="s">
        <v>44</v>
      </c>
      <c r="C57" s="16" t="s">
        <v>187</v>
      </c>
      <c r="D57" s="39" t="s">
        <v>66</v>
      </c>
      <c r="E57" s="16" t="s">
        <v>45</v>
      </c>
      <c r="F57" s="140">
        <f>ВСР!G37</f>
        <v>2062.5500000000002</v>
      </c>
      <c r="G57" s="140">
        <f>ВСР!H37</f>
        <v>1033.0999999999999</v>
      </c>
      <c r="H57" s="140">
        <f>ВСР!I37</f>
        <v>1063.9000000000001</v>
      </c>
    </row>
    <row r="58" spans="1:8" ht="18.75" x14ac:dyDescent="0.3">
      <c r="A58" s="54" t="s">
        <v>493</v>
      </c>
      <c r="B58" s="188" t="s">
        <v>47</v>
      </c>
      <c r="C58" s="16" t="s">
        <v>187</v>
      </c>
      <c r="D58" s="39" t="s">
        <v>66</v>
      </c>
      <c r="E58" s="16" t="s">
        <v>48</v>
      </c>
      <c r="F58" s="140">
        <f>ВСР!G38</f>
        <v>1</v>
      </c>
      <c r="G58" s="140">
        <f>ВСР!H38</f>
        <v>1</v>
      </c>
      <c r="H58" s="140" t="str">
        <f>ВСР!I38</f>
        <v>1,0</v>
      </c>
    </row>
    <row r="59" spans="1:8" ht="18.75" x14ac:dyDescent="0.3">
      <c r="A59" s="54" t="s">
        <v>517</v>
      </c>
      <c r="B59" s="204" t="s">
        <v>515</v>
      </c>
      <c r="C59" s="16" t="s">
        <v>187</v>
      </c>
      <c r="D59" s="21" t="s">
        <v>393</v>
      </c>
      <c r="E59" s="16"/>
      <c r="F59" s="140">
        <f>F60</f>
        <v>0</v>
      </c>
      <c r="G59" s="140">
        <f>G60</f>
        <v>1652</v>
      </c>
      <c r="H59" s="140">
        <f>H60</f>
        <v>3431.8</v>
      </c>
    </row>
    <row r="60" spans="1:8" ht="18.75" x14ac:dyDescent="0.3">
      <c r="A60" s="54" t="s">
        <v>516</v>
      </c>
      <c r="B60" s="204" t="s">
        <v>47</v>
      </c>
      <c r="C60" s="16" t="s">
        <v>187</v>
      </c>
      <c r="D60" s="21" t="s">
        <v>393</v>
      </c>
      <c r="E60" s="16" t="s">
        <v>48</v>
      </c>
      <c r="F60" s="140">
        <f>ВСР!G40</f>
        <v>0</v>
      </c>
      <c r="G60" s="140">
        <f>ВСР!H40</f>
        <v>1652</v>
      </c>
      <c r="H60" s="140">
        <f>ВСР!I40</f>
        <v>3431.8</v>
      </c>
    </row>
    <row r="61" spans="1:8" ht="56.25" x14ac:dyDescent="0.3">
      <c r="A61" s="232" t="s">
        <v>14</v>
      </c>
      <c r="B61" s="245" t="s">
        <v>73</v>
      </c>
      <c r="C61" s="234" t="s">
        <v>176</v>
      </c>
      <c r="D61" s="242"/>
      <c r="E61" s="234"/>
      <c r="F61" s="240">
        <f>F62</f>
        <v>20</v>
      </c>
      <c r="G61" s="240">
        <f>G62</f>
        <v>21</v>
      </c>
      <c r="H61" s="240" t="str">
        <f t="shared" ref="G61:H63" si="18">H62</f>
        <v>22</v>
      </c>
    </row>
    <row r="62" spans="1:8" ht="36" customHeight="1" x14ac:dyDescent="0.3">
      <c r="A62" s="54" t="s">
        <v>12</v>
      </c>
      <c r="B62" s="195" t="s">
        <v>75</v>
      </c>
      <c r="C62" s="16" t="s">
        <v>189</v>
      </c>
      <c r="D62" s="38"/>
      <c r="E62" s="16"/>
      <c r="F62" s="140">
        <f>F63</f>
        <v>20</v>
      </c>
      <c r="G62" s="140">
        <f t="shared" si="18"/>
        <v>21</v>
      </c>
      <c r="H62" s="140" t="str">
        <f t="shared" si="18"/>
        <v>22</v>
      </c>
    </row>
    <row r="63" spans="1:8" ht="126.75" customHeight="1" x14ac:dyDescent="0.3">
      <c r="A63" s="54" t="s">
        <v>15</v>
      </c>
      <c r="B63" s="196" t="s">
        <v>77</v>
      </c>
      <c r="C63" s="16" t="s">
        <v>190</v>
      </c>
      <c r="D63" s="16" t="str">
        <f>[2]ВСР!E43</f>
        <v>21900 00090</v>
      </c>
      <c r="E63" s="16"/>
      <c r="F63" s="140">
        <f>F64</f>
        <v>20</v>
      </c>
      <c r="G63" s="140">
        <f t="shared" si="18"/>
        <v>21</v>
      </c>
      <c r="H63" s="140" t="str">
        <f t="shared" si="18"/>
        <v>22</v>
      </c>
    </row>
    <row r="64" spans="1:8" ht="37.5" x14ac:dyDescent="0.3">
      <c r="A64" s="54" t="s">
        <v>494</v>
      </c>
      <c r="B64" s="22" t="s">
        <v>44</v>
      </c>
      <c r="C64" s="16" t="s">
        <v>190</v>
      </c>
      <c r="D64" s="38" t="s">
        <v>78</v>
      </c>
      <c r="E64" s="16" t="s">
        <v>45</v>
      </c>
      <c r="F64" s="140">
        <f>ВСР!G44</f>
        <v>20</v>
      </c>
      <c r="G64" s="140">
        <f>ВСР!H44</f>
        <v>21</v>
      </c>
      <c r="H64" s="140" t="str">
        <f>ВСР!I44</f>
        <v>22</v>
      </c>
    </row>
    <row r="65" spans="1:8" ht="18.75" x14ac:dyDescent="0.3">
      <c r="A65" s="232" t="s">
        <v>23</v>
      </c>
      <c r="B65" s="245" t="s">
        <v>79</v>
      </c>
      <c r="C65" s="234" t="s">
        <v>180</v>
      </c>
      <c r="D65" s="242"/>
      <c r="E65" s="234"/>
      <c r="F65" s="240">
        <f>F67+F70+F72</f>
        <v>169.8</v>
      </c>
      <c r="G65" s="240">
        <f t="shared" ref="G65:H65" si="19">G67+G70+G72</f>
        <v>179.50000000000003</v>
      </c>
      <c r="H65" s="240">
        <f t="shared" si="19"/>
        <v>189.1</v>
      </c>
    </row>
    <row r="66" spans="1:8" ht="18.75" x14ac:dyDescent="0.3">
      <c r="A66" s="54" t="s">
        <v>464</v>
      </c>
      <c r="B66" s="191" t="s">
        <v>525</v>
      </c>
      <c r="C66" s="16" t="s">
        <v>173</v>
      </c>
      <c r="D66" s="39"/>
      <c r="E66" s="16"/>
      <c r="F66" s="140">
        <f>F67</f>
        <v>159.80000000000001</v>
      </c>
      <c r="G66" s="140">
        <f t="shared" ref="G66:H67" si="20">G67</f>
        <v>168.9</v>
      </c>
      <c r="H66" s="140">
        <f t="shared" si="20"/>
        <v>177.9</v>
      </c>
    </row>
    <row r="67" spans="1:8" ht="56.25" x14ac:dyDescent="0.3">
      <c r="A67" s="54" t="s">
        <v>301</v>
      </c>
      <c r="B67" s="191" t="s">
        <v>523</v>
      </c>
      <c r="C67" s="16" t="s">
        <v>524</v>
      </c>
      <c r="D67" s="205">
        <v>5100000100</v>
      </c>
      <c r="E67" s="16"/>
      <c r="F67" s="140">
        <f>F68</f>
        <v>159.80000000000001</v>
      </c>
      <c r="G67" s="140">
        <f t="shared" si="20"/>
        <v>168.9</v>
      </c>
      <c r="H67" s="140">
        <f t="shared" si="20"/>
        <v>177.9</v>
      </c>
    </row>
    <row r="68" spans="1:8" ht="37.5" x14ac:dyDescent="0.3">
      <c r="A68" s="54" t="s">
        <v>278</v>
      </c>
      <c r="B68" s="191" t="s">
        <v>522</v>
      </c>
      <c r="C68" s="16" t="s">
        <v>524</v>
      </c>
      <c r="D68" s="205">
        <v>5100000100</v>
      </c>
      <c r="E68" s="16" t="s">
        <v>45</v>
      </c>
      <c r="F68" s="140">
        <f>ВСР!G48</f>
        <v>159.80000000000001</v>
      </c>
      <c r="G68" s="140">
        <f>ВСР!H48</f>
        <v>168.9</v>
      </c>
      <c r="H68" s="140">
        <f>ВСР!I48</f>
        <v>177.9</v>
      </c>
    </row>
    <row r="69" spans="1:8" ht="18.75" x14ac:dyDescent="0.3">
      <c r="A69" s="54" t="s">
        <v>191</v>
      </c>
      <c r="B69" s="197" t="s">
        <v>81</v>
      </c>
      <c r="C69" s="16" t="s">
        <v>192</v>
      </c>
      <c r="D69" s="39"/>
      <c r="E69" s="16"/>
      <c r="F69" s="140">
        <f>F70+F72</f>
        <v>10</v>
      </c>
      <c r="G69" s="140">
        <f t="shared" ref="G69:H69" si="21">G70+G72</f>
        <v>10.6</v>
      </c>
      <c r="H69" s="140">
        <f t="shared" si="21"/>
        <v>11.2</v>
      </c>
    </row>
    <row r="70" spans="1:8" ht="75" x14ac:dyDescent="0.3">
      <c r="A70" s="54" t="s">
        <v>193</v>
      </c>
      <c r="B70" s="198" t="s">
        <v>276</v>
      </c>
      <c r="C70" s="16" t="s">
        <v>194</v>
      </c>
      <c r="D70" s="21" t="str">
        <f>[2]ВСР!E51</f>
        <v>34500 00100</v>
      </c>
      <c r="E70" s="16"/>
      <c r="F70" s="140">
        <f>F71</f>
        <v>5</v>
      </c>
      <c r="G70" s="140">
        <f t="shared" ref="G70:H72" si="22">G71</f>
        <v>5.3</v>
      </c>
      <c r="H70" s="140">
        <f t="shared" si="22"/>
        <v>5.6</v>
      </c>
    </row>
    <row r="71" spans="1:8" ht="37.5" x14ac:dyDescent="0.3">
      <c r="A71" s="54" t="s">
        <v>411</v>
      </c>
      <c r="B71" s="15" t="s">
        <v>44</v>
      </c>
      <c r="C71" s="16" t="s">
        <v>194</v>
      </c>
      <c r="D71" s="39" t="s">
        <v>83</v>
      </c>
      <c r="E71" s="16" t="s">
        <v>45</v>
      </c>
      <c r="F71" s="139">
        <f>ВСР!G51</f>
        <v>5</v>
      </c>
      <c r="G71" s="139">
        <f>ВСР!H51</f>
        <v>5.3</v>
      </c>
      <c r="H71" s="139">
        <f>ВСР!I51</f>
        <v>5.6</v>
      </c>
    </row>
    <row r="72" spans="1:8" ht="75" x14ac:dyDescent="0.3">
      <c r="A72" s="54" t="s">
        <v>419</v>
      </c>
      <c r="B72" s="198" t="s">
        <v>418</v>
      </c>
      <c r="C72" s="16" t="s">
        <v>194</v>
      </c>
      <c r="D72" s="21" t="s">
        <v>392</v>
      </c>
      <c r="E72" s="16"/>
      <c r="F72" s="140">
        <f>F73</f>
        <v>5</v>
      </c>
      <c r="G72" s="140">
        <f t="shared" si="22"/>
        <v>5.3</v>
      </c>
      <c r="H72" s="140">
        <f t="shared" si="22"/>
        <v>5.6</v>
      </c>
    </row>
    <row r="73" spans="1:8" ht="37.5" x14ac:dyDescent="0.3">
      <c r="A73" s="54" t="s">
        <v>495</v>
      </c>
      <c r="B73" s="15" t="s">
        <v>44</v>
      </c>
      <c r="C73" s="16" t="s">
        <v>194</v>
      </c>
      <c r="D73" s="21" t="s">
        <v>392</v>
      </c>
      <c r="E73" s="16" t="s">
        <v>45</v>
      </c>
      <c r="F73" s="139">
        <f>ВСР!G53</f>
        <v>5</v>
      </c>
      <c r="G73" s="139">
        <f>ВСР!H53</f>
        <v>5.3</v>
      </c>
      <c r="H73" s="139">
        <f>ВСР!I53</f>
        <v>5.6</v>
      </c>
    </row>
    <row r="74" spans="1:8" ht="23.1" customHeight="1" x14ac:dyDescent="0.3">
      <c r="A74" s="232" t="s">
        <v>24</v>
      </c>
      <c r="B74" s="244" t="s">
        <v>84</v>
      </c>
      <c r="C74" s="234" t="s">
        <v>195</v>
      </c>
      <c r="D74" s="235"/>
      <c r="E74" s="234"/>
      <c r="F74" s="243">
        <f>F75</f>
        <v>34509</v>
      </c>
      <c r="G74" s="243">
        <f>G75</f>
        <v>8258.6</v>
      </c>
      <c r="H74" s="243">
        <f t="shared" ref="H74" si="23">H75</f>
        <v>11280.02</v>
      </c>
    </row>
    <row r="75" spans="1:8" ht="18.75" x14ac:dyDescent="0.3">
      <c r="A75" s="54" t="s">
        <v>196</v>
      </c>
      <c r="B75" s="18" t="s">
        <v>86</v>
      </c>
      <c r="C75" s="16" t="s">
        <v>197</v>
      </c>
      <c r="D75" s="39"/>
      <c r="E75" s="16"/>
      <c r="F75" s="139">
        <f>F76+F78+F80+F82+F84+F86+F88+F90+F92</f>
        <v>34509</v>
      </c>
      <c r="G75" s="139">
        <f>G76+G78+G80+G82+G84+G86+G88+G90+G92</f>
        <v>8258.6</v>
      </c>
      <c r="H75" s="139">
        <f t="shared" ref="H75" si="24">H76+H78+H80+H82+H84+H86+H88+H90+H92</f>
        <v>11280.02</v>
      </c>
    </row>
    <row r="76" spans="1:8" ht="37.5" x14ac:dyDescent="0.3">
      <c r="A76" s="54" t="s">
        <v>268</v>
      </c>
      <c r="B76" s="17" t="s">
        <v>88</v>
      </c>
      <c r="C76" s="16" t="s">
        <v>198</v>
      </c>
      <c r="D76" s="21" t="str">
        <f>[2]ВСР!E56</f>
        <v>60001 00132</v>
      </c>
      <c r="E76" s="16"/>
      <c r="F76" s="139">
        <f>F77</f>
        <v>209.7</v>
      </c>
      <c r="G76" s="139">
        <f t="shared" ref="G76:H76" si="25">G77</f>
        <v>340.7</v>
      </c>
      <c r="H76" s="139">
        <f t="shared" si="25"/>
        <v>334.3</v>
      </c>
    </row>
    <row r="77" spans="1:8" ht="37.5" x14ac:dyDescent="0.3">
      <c r="A77" s="54" t="s">
        <v>279</v>
      </c>
      <c r="B77" s="15" t="s">
        <v>44</v>
      </c>
      <c r="C77" s="16" t="s">
        <v>198</v>
      </c>
      <c r="D77" s="21" t="str">
        <f>[2]ВСР!E57</f>
        <v>60001 00132</v>
      </c>
      <c r="E77" s="16" t="s">
        <v>45</v>
      </c>
      <c r="F77" s="139">
        <f>ВСР!G57</f>
        <v>209.7</v>
      </c>
      <c r="G77" s="139">
        <f>ВСР!H57</f>
        <v>340.7</v>
      </c>
      <c r="H77" s="139">
        <f>ВСР!I57</f>
        <v>334.3</v>
      </c>
    </row>
    <row r="78" spans="1:8" ht="76.5" customHeight="1" x14ac:dyDescent="0.3">
      <c r="A78" s="54" t="s">
        <v>269</v>
      </c>
      <c r="B78" s="17" t="s">
        <v>90</v>
      </c>
      <c r="C78" s="16" t="s">
        <v>198</v>
      </c>
      <c r="D78" s="21" t="s">
        <v>239</v>
      </c>
      <c r="E78" s="16"/>
      <c r="F78" s="139">
        <f>F79</f>
        <v>162.30000000000001</v>
      </c>
      <c r="G78" s="139">
        <f t="shared" ref="G78:H78" si="26">G79</f>
        <v>108.4</v>
      </c>
      <c r="H78" s="139">
        <f t="shared" si="26"/>
        <v>113.8</v>
      </c>
    </row>
    <row r="79" spans="1:8" ht="37.5" x14ac:dyDescent="0.3">
      <c r="A79" s="54" t="s">
        <v>280</v>
      </c>
      <c r="B79" s="17" t="s">
        <v>44</v>
      </c>
      <c r="C79" s="16" t="s">
        <v>198</v>
      </c>
      <c r="D79" s="21" t="s">
        <v>239</v>
      </c>
      <c r="E79" s="16" t="s">
        <v>45</v>
      </c>
      <c r="F79" s="139">
        <f>ВСР!G59</f>
        <v>162.30000000000001</v>
      </c>
      <c r="G79" s="139">
        <f>ВСР!H59</f>
        <v>108.4</v>
      </c>
      <c r="H79" s="139">
        <f>ВСР!I59</f>
        <v>113.8</v>
      </c>
    </row>
    <row r="80" spans="1:8" ht="56.25" x14ac:dyDescent="0.3">
      <c r="A80" s="54" t="s">
        <v>270</v>
      </c>
      <c r="B80" s="17" t="s">
        <v>91</v>
      </c>
      <c r="C80" s="16" t="s">
        <v>198</v>
      </c>
      <c r="D80" s="21" t="str">
        <f>[2]ВСР!E63</f>
        <v>60003 00151</v>
      </c>
      <c r="E80" s="16"/>
      <c r="F80" s="139">
        <f>F81</f>
        <v>2791.9</v>
      </c>
      <c r="G80" s="139">
        <f t="shared" ref="G80:H80" si="27">G81</f>
        <v>2826.6000000000004</v>
      </c>
      <c r="H80" s="139">
        <f t="shared" si="27"/>
        <v>2967.92</v>
      </c>
    </row>
    <row r="81" spans="1:8" ht="37.5" x14ac:dyDescent="0.3">
      <c r="A81" s="54" t="s">
        <v>281</v>
      </c>
      <c r="B81" s="17" t="s">
        <v>44</v>
      </c>
      <c r="C81" s="16" t="s">
        <v>198</v>
      </c>
      <c r="D81" s="39" t="s">
        <v>92</v>
      </c>
      <c r="E81" s="16" t="s">
        <v>45</v>
      </c>
      <c r="F81" s="139">
        <f>ВСР!G61</f>
        <v>2791.9</v>
      </c>
      <c r="G81" s="139">
        <f>ВСР!H61</f>
        <v>2826.6000000000004</v>
      </c>
      <c r="H81" s="139">
        <f>ВСР!I61</f>
        <v>2967.92</v>
      </c>
    </row>
    <row r="82" spans="1:8" ht="37.5" x14ac:dyDescent="0.3">
      <c r="A82" s="54" t="s">
        <v>271</v>
      </c>
      <c r="B82" s="17" t="s">
        <v>93</v>
      </c>
      <c r="C82" s="16" t="s">
        <v>198</v>
      </c>
      <c r="D82" s="21" t="s">
        <v>240</v>
      </c>
      <c r="E82" s="16"/>
      <c r="F82" s="139">
        <f>F83</f>
        <v>313.89999999999998</v>
      </c>
      <c r="G82" s="139">
        <f t="shared" ref="G82:H82" si="28">G83</f>
        <v>95.2</v>
      </c>
      <c r="H82" s="139">
        <f t="shared" si="28"/>
        <v>100</v>
      </c>
    </row>
    <row r="83" spans="1:8" ht="37.5" x14ac:dyDescent="0.3">
      <c r="A83" s="54" t="s">
        <v>282</v>
      </c>
      <c r="B83" s="17" t="s">
        <v>44</v>
      </c>
      <c r="C83" s="16" t="s">
        <v>198</v>
      </c>
      <c r="D83" s="21" t="s">
        <v>240</v>
      </c>
      <c r="E83" s="16" t="s">
        <v>45</v>
      </c>
      <c r="F83" s="139">
        <f>ВСР!G63</f>
        <v>313.89999999999998</v>
      </c>
      <c r="G83" s="139">
        <f>ВСР!H63</f>
        <v>95.2</v>
      </c>
      <c r="H83" s="139">
        <f>ВСР!I63</f>
        <v>100</v>
      </c>
    </row>
    <row r="84" spans="1:8" ht="93.75" x14ac:dyDescent="0.3">
      <c r="A84" s="54" t="s">
        <v>272</v>
      </c>
      <c r="B84" s="17" t="s">
        <v>94</v>
      </c>
      <c r="C84" s="16" t="s">
        <v>198</v>
      </c>
      <c r="D84" s="21" t="s">
        <v>241</v>
      </c>
      <c r="E84" s="16"/>
      <c r="F84" s="139">
        <f>F85</f>
        <v>974.9</v>
      </c>
      <c r="G84" s="139">
        <f t="shared" ref="G84:H84" si="29">G85</f>
        <v>813.6</v>
      </c>
      <c r="H84" s="139">
        <f t="shared" si="29"/>
        <v>854.3</v>
      </c>
    </row>
    <row r="85" spans="1:8" ht="37.5" x14ac:dyDescent="0.3">
      <c r="A85" s="54" t="s">
        <v>283</v>
      </c>
      <c r="B85" s="17" t="s">
        <v>44</v>
      </c>
      <c r="C85" s="16" t="s">
        <v>198</v>
      </c>
      <c r="D85" s="21" t="s">
        <v>241</v>
      </c>
      <c r="E85" s="16" t="s">
        <v>45</v>
      </c>
      <c r="F85" s="139">
        <f>ВСР!G65</f>
        <v>974.9</v>
      </c>
      <c r="G85" s="139">
        <f>ВСР!H65</f>
        <v>813.6</v>
      </c>
      <c r="H85" s="139">
        <f>ВСР!I65</f>
        <v>854.3</v>
      </c>
    </row>
    <row r="86" spans="1:8" ht="56.25" x14ac:dyDescent="0.3">
      <c r="A86" s="54" t="s">
        <v>273</v>
      </c>
      <c r="B86" s="17" t="s">
        <v>95</v>
      </c>
      <c r="C86" s="16" t="s">
        <v>198</v>
      </c>
      <c r="D86" s="21" t="s">
        <v>242</v>
      </c>
      <c r="E86" s="16"/>
      <c r="F86" s="139">
        <f>F87</f>
        <v>605.6</v>
      </c>
      <c r="G86" s="139" t="str">
        <f t="shared" ref="G86:H86" si="30">G87</f>
        <v>635,9</v>
      </c>
      <c r="H86" s="139">
        <f t="shared" si="30"/>
        <v>667.7</v>
      </c>
    </row>
    <row r="87" spans="1:8" ht="37.5" x14ac:dyDescent="0.3">
      <c r="A87" s="54" t="s">
        <v>284</v>
      </c>
      <c r="B87" s="17" t="s">
        <v>44</v>
      </c>
      <c r="C87" s="16" t="s">
        <v>198</v>
      </c>
      <c r="D87" s="21" t="s">
        <v>242</v>
      </c>
      <c r="E87" s="16" t="s">
        <v>45</v>
      </c>
      <c r="F87" s="139">
        <f>ВСР!G67</f>
        <v>605.6</v>
      </c>
      <c r="G87" s="139" t="str">
        <f>ВСР!H67</f>
        <v>635,9</v>
      </c>
      <c r="H87" s="139">
        <f>ВСР!I67</f>
        <v>667.7</v>
      </c>
    </row>
    <row r="88" spans="1:8" ht="75" x14ac:dyDescent="0.3">
      <c r="A88" s="54" t="s">
        <v>274</v>
      </c>
      <c r="B88" s="18" t="s">
        <v>96</v>
      </c>
      <c r="C88" s="16" t="s">
        <v>198</v>
      </c>
      <c r="D88" s="21" t="s">
        <v>97</v>
      </c>
      <c r="E88" s="16"/>
      <c r="F88" s="139">
        <f>F89</f>
        <v>9440.7000000000007</v>
      </c>
      <c r="G88" s="139">
        <f t="shared" ref="G88:H90" si="31">G89</f>
        <v>3427.7000000000007</v>
      </c>
      <c r="H88" s="139">
        <f t="shared" si="31"/>
        <v>6231.0000000000018</v>
      </c>
    </row>
    <row r="89" spans="1:8" ht="37.5" x14ac:dyDescent="0.3">
      <c r="A89" s="54" t="s">
        <v>285</v>
      </c>
      <c r="B89" s="17" t="s">
        <v>44</v>
      </c>
      <c r="C89" s="16" t="s">
        <v>198</v>
      </c>
      <c r="D89" s="21" t="s">
        <v>97</v>
      </c>
      <c r="E89" s="16" t="s">
        <v>45</v>
      </c>
      <c r="F89" s="139">
        <f>ВСР!G69</f>
        <v>9440.7000000000007</v>
      </c>
      <c r="G89" s="139">
        <f>ВСР!H69</f>
        <v>3427.7000000000007</v>
      </c>
      <c r="H89" s="139">
        <f>ВСР!I69</f>
        <v>6231.0000000000018</v>
      </c>
    </row>
    <row r="90" spans="1:8" ht="18.75" x14ac:dyDescent="0.3">
      <c r="A90" s="54" t="s">
        <v>538</v>
      </c>
      <c r="B90" s="17" t="s">
        <v>395</v>
      </c>
      <c r="C90" s="16" t="s">
        <v>198</v>
      </c>
      <c r="D90" s="21" t="s">
        <v>394</v>
      </c>
      <c r="E90" s="16"/>
      <c r="F90" s="139">
        <f>F91</f>
        <v>20000</v>
      </c>
      <c r="G90" s="139">
        <f t="shared" si="31"/>
        <v>0</v>
      </c>
      <c r="H90" s="139">
        <f t="shared" si="31"/>
        <v>0</v>
      </c>
    </row>
    <row r="91" spans="1:8" ht="18.75" x14ac:dyDescent="0.3">
      <c r="A91" s="54" t="s">
        <v>539</v>
      </c>
      <c r="B91" s="17" t="s">
        <v>395</v>
      </c>
      <c r="C91" s="16" t="s">
        <v>198</v>
      </c>
      <c r="D91" s="21" t="s">
        <v>394</v>
      </c>
      <c r="E91" s="16" t="s">
        <v>45</v>
      </c>
      <c r="F91" s="139">
        <f>ВСР!G70</f>
        <v>20000</v>
      </c>
      <c r="G91" s="139">
        <f>ВСР!H70</f>
        <v>0</v>
      </c>
      <c r="H91" s="139">
        <f>ВСР!I70</f>
        <v>0</v>
      </c>
    </row>
    <row r="92" spans="1:8" ht="113.45" customHeight="1" x14ac:dyDescent="0.3">
      <c r="A92" s="54" t="s">
        <v>551</v>
      </c>
      <c r="B92" s="259" t="s">
        <v>545</v>
      </c>
      <c r="C92" s="16" t="s">
        <v>198</v>
      </c>
      <c r="D92" s="21" t="s">
        <v>541</v>
      </c>
      <c r="E92" s="16"/>
      <c r="F92" s="139">
        <f>F93</f>
        <v>10</v>
      </c>
      <c r="G92" s="139" t="str">
        <f t="shared" ref="G92:H92" si="32">G93</f>
        <v>10,5</v>
      </c>
      <c r="H92" s="139">
        <f t="shared" si="32"/>
        <v>11</v>
      </c>
    </row>
    <row r="93" spans="1:8" ht="37.5" x14ac:dyDescent="0.3">
      <c r="A93" s="54" t="s">
        <v>552</v>
      </c>
      <c r="B93" s="17" t="s">
        <v>451</v>
      </c>
      <c r="C93" s="16" t="s">
        <v>198</v>
      </c>
      <c r="D93" s="21" t="s">
        <v>541</v>
      </c>
      <c r="E93" s="16" t="s">
        <v>45</v>
      </c>
      <c r="F93" s="139">
        <f>ВСР!G72</f>
        <v>10</v>
      </c>
      <c r="G93" s="139" t="str">
        <f>ВСР!H72</f>
        <v>10,5</v>
      </c>
      <c r="H93" s="139">
        <f>ВСР!I72</f>
        <v>11</v>
      </c>
    </row>
    <row r="94" spans="1:8" ht="18.75" x14ac:dyDescent="0.3">
      <c r="A94" s="232" t="s">
        <v>25</v>
      </c>
      <c r="B94" s="233" t="s">
        <v>98</v>
      </c>
      <c r="C94" s="234" t="s">
        <v>199</v>
      </c>
      <c r="D94" s="235"/>
      <c r="E94" s="234"/>
      <c r="F94" s="243">
        <f>F96</f>
        <v>28.3</v>
      </c>
      <c r="G94" s="243">
        <f t="shared" ref="G94:H94" si="33">G96</f>
        <v>29.7</v>
      </c>
      <c r="H94" s="243">
        <f t="shared" si="33"/>
        <v>31.1</v>
      </c>
    </row>
    <row r="95" spans="1:8" ht="37.5" x14ac:dyDescent="0.3">
      <c r="A95" s="54" t="s">
        <v>200</v>
      </c>
      <c r="B95" s="17" t="s">
        <v>100</v>
      </c>
      <c r="C95" s="16" t="s">
        <v>195</v>
      </c>
      <c r="D95" s="39"/>
      <c r="E95" s="16"/>
      <c r="F95" s="139">
        <f>F96</f>
        <v>28.3</v>
      </c>
      <c r="G95" s="139">
        <f t="shared" ref="G95:H96" si="34">G96</f>
        <v>29.7</v>
      </c>
      <c r="H95" s="139">
        <f t="shared" si="34"/>
        <v>31.1</v>
      </c>
    </row>
    <row r="96" spans="1:8" ht="57.75" customHeight="1" x14ac:dyDescent="0.3">
      <c r="A96" s="54" t="s">
        <v>201</v>
      </c>
      <c r="B96" s="17" t="s">
        <v>102</v>
      </c>
      <c r="C96" s="16" t="s">
        <v>202</v>
      </c>
      <c r="D96" s="21" t="str">
        <f>[2]ВСР!E79</f>
        <v>41000 00170</v>
      </c>
      <c r="E96" s="16"/>
      <c r="F96" s="139">
        <f>F97</f>
        <v>28.3</v>
      </c>
      <c r="G96" s="139">
        <f t="shared" si="34"/>
        <v>29.7</v>
      </c>
      <c r="H96" s="139">
        <f t="shared" si="34"/>
        <v>31.1</v>
      </c>
    </row>
    <row r="97" spans="1:8" ht="37.5" x14ac:dyDescent="0.3">
      <c r="A97" s="54" t="s">
        <v>286</v>
      </c>
      <c r="B97" s="17" t="s">
        <v>44</v>
      </c>
      <c r="C97" s="16" t="s">
        <v>202</v>
      </c>
      <c r="D97" s="39" t="s">
        <v>103</v>
      </c>
      <c r="E97" s="16" t="s">
        <v>45</v>
      </c>
      <c r="F97" s="139">
        <f>ВСР!G76</f>
        <v>28.3</v>
      </c>
      <c r="G97" s="139">
        <f>ВСР!H76</f>
        <v>29.7</v>
      </c>
      <c r="H97" s="139">
        <f>ВСР!I76</f>
        <v>31.1</v>
      </c>
    </row>
    <row r="98" spans="1:8" ht="18.75" x14ac:dyDescent="0.3">
      <c r="A98" s="232" t="s">
        <v>26</v>
      </c>
      <c r="B98" s="233" t="s">
        <v>104</v>
      </c>
      <c r="C98" s="234" t="s">
        <v>203</v>
      </c>
      <c r="D98" s="242"/>
      <c r="E98" s="234"/>
      <c r="F98" s="243">
        <f>F99+F102</f>
        <v>412.2</v>
      </c>
      <c r="G98" s="243">
        <f>G99+G102</f>
        <v>324.89999999999998</v>
      </c>
      <c r="H98" s="243">
        <f>H99+H102</f>
        <v>343</v>
      </c>
    </row>
    <row r="99" spans="1:8" ht="38.450000000000003" customHeight="1" x14ac:dyDescent="0.3">
      <c r="A99" s="54" t="s">
        <v>204</v>
      </c>
      <c r="B99" s="199" t="s">
        <v>106</v>
      </c>
      <c r="C99" s="16" t="s">
        <v>195</v>
      </c>
      <c r="D99" s="38"/>
      <c r="E99" s="16"/>
      <c r="F99" s="139">
        <f>F100</f>
        <v>231</v>
      </c>
      <c r="G99" s="139" t="str">
        <f t="shared" ref="G99:H100" si="35">G100</f>
        <v>132,2</v>
      </c>
      <c r="H99" s="139" t="str">
        <f t="shared" si="35"/>
        <v>138,5</v>
      </c>
    </row>
    <row r="100" spans="1:8" ht="90" customHeight="1" x14ac:dyDescent="0.3">
      <c r="A100" s="54" t="s">
        <v>305</v>
      </c>
      <c r="B100" s="17" t="s">
        <v>110</v>
      </c>
      <c r="C100" s="16" t="s">
        <v>205</v>
      </c>
      <c r="D100" s="38" t="s">
        <v>109</v>
      </c>
      <c r="E100" s="16"/>
      <c r="F100" s="139">
        <f>F101</f>
        <v>231</v>
      </c>
      <c r="G100" s="139" t="str">
        <f t="shared" si="35"/>
        <v>132,2</v>
      </c>
      <c r="H100" s="139" t="str">
        <f t="shared" si="35"/>
        <v>138,5</v>
      </c>
    </row>
    <row r="101" spans="1:8" ht="37.5" x14ac:dyDescent="0.3">
      <c r="A101" s="54" t="s">
        <v>287</v>
      </c>
      <c r="B101" s="17" t="s">
        <v>44</v>
      </c>
      <c r="C101" s="16" t="s">
        <v>205</v>
      </c>
      <c r="D101" s="38" t="s">
        <v>109</v>
      </c>
      <c r="E101" s="16" t="s">
        <v>45</v>
      </c>
      <c r="F101" s="139">
        <f>ВСР!G80</f>
        <v>231</v>
      </c>
      <c r="G101" s="139" t="str">
        <f>ВСР!H80</f>
        <v>132,2</v>
      </c>
      <c r="H101" s="139" t="str">
        <f>ВСР!I80</f>
        <v>138,5</v>
      </c>
    </row>
    <row r="102" spans="1:8" ht="21.75" customHeight="1" x14ac:dyDescent="0.3">
      <c r="A102" s="54" t="s">
        <v>206</v>
      </c>
      <c r="B102" s="17" t="s">
        <v>113</v>
      </c>
      <c r="C102" s="16" t="s">
        <v>208</v>
      </c>
      <c r="D102" s="39"/>
      <c r="E102" s="16"/>
      <c r="F102" s="139">
        <f>F103+F105+F107+F109+F111+F113</f>
        <v>181.2</v>
      </c>
      <c r="G102" s="139">
        <f t="shared" ref="G102:H102" si="36">G103+G105+G107+G109+G111+G113</f>
        <v>192.7</v>
      </c>
      <c r="H102" s="139">
        <f t="shared" si="36"/>
        <v>204.5</v>
      </c>
    </row>
    <row r="103" spans="1:8" ht="75.599999999999994" customHeight="1" x14ac:dyDescent="0.3">
      <c r="A103" s="54" t="s">
        <v>207</v>
      </c>
      <c r="B103" s="17" t="s">
        <v>111</v>
      </c>
      <c r="C103" s="16" t="s">
        <v>210</v>
      </c>
      <c r="D103" s="16" t="str">
        <f>[2]ВСР!E87</f>
        <v>79505 00190</v>
      </c>
      <c r="E103" s="16"/>
      <c r="F103" s="139">
        <f>F104</f>
        <v>48.2</v>
      </c>
      <c r="G103" s="139" t="str">
        <f t="shared" ref="G103:H103" si="37">G104</f>
        <v>50,7</v>
      </c>
      <c r="H103" s="139">
        <f t="shared" si="37"/>
        <v>53.2</v>
      </c>
    </row>
    <row r="104" spans="1:8" ht="37.5" x14ac:dyDescent="0.3">
      <c r="A104" s="54" t="s">
        <v>288</v>
      </c>
      <c r="B104" s="17" t="s">
        <v>44</v>
      </c>
      <c r="C104" s="16" t="s">
        <v>210</v>
      </c>
      <c r="D104" s="38" t="s">
        <v>112</v>
      </c>
      <c r="E104" s="16" t="s">
        <v>45</v>
      </c>
      <c r="F104" s="139">
        <f>ВСР!G83</f>
        <v>48.2</v>
      </c>
      <c r="G104" s="139" t="str">
        <f>ВСР!H83</f>
        <v>50,7</v>
      </c>
      <c r="H104" s="139">
        <f>ВСР!I83</f>
        <v>53.2</v>
      </c>
    </row>
    <row r="105" spans="1:8" ht="72.95" customHeight="1" x14ac:dyDescent="0.3">
      <c r="A105" s="54" t="s">
        <v>420</v>
      </c>
      <c r="B105" s="17" t="s">
        <v>115</v>
      </c>
      <c r="C105" s="19" t="s">
        <v>210</v>
      </c>
      <c r="D105" s="16" t="str">
        <f>[2]ВСР!E90</f>
        <v>79506 00510</v>
      </c>
      <c r="E105" s="16"/>
      <c r="F105" s="139">
        <f>F106</f>
        <v>10</v>
      </c>
      <c r="G105" s="139">
        <f t="shared" ref="G105:H105" si="38">G106</f>
        <v>10.5</v>
      </c>
      <c r="H105" s="139">
        <f t="shared" si="38"/>
        <v>11</v>
      </c>
    </row>
    <row r="106" spans="1:8" ht="37.5" x14ac:dyDescent="0.3">
      <c r="A106" s="54" t="s">
        <v>467</v>
      </c>
      <c r="B106" s="17" t="s">
        <v>44</v>
      </c>
      <c r="C106" s="19" t="s">
        <v>210</v>
      </c>
      <c r="D106" s="16" t="str">
        <f>[2]ВСР!E91</f>
        <v>79506 00510</v>
      </c>
      <c r="E106" s="16" t="s">
        <v>45</v>
      </c>
      <c r="F106" s="139">
        <f>ВСР!G85</f>
        <v>10</v>
      </c>
      <c r="G106" s="139">
        <f>ВСР!H85</f>
        <v>10.5</v>
      </c>
      <c r="H106" s="139">
        <f>ВСР!I85</f>
        <v>11</v>
      </c>
    </row>
    <row r="107" spans="1:8" ht="109.5" customHeight="1" x14ac:dyDescent="0.3">
      <c r="A107" s="54" t="s">
        <v>421</v>
      </c>
      <c r="B107" s="195" t="s">
        <v>188</v>
      </c>
      <c r="C107" s="16" t="s">
        <v>210</v>
      </c>
      <c r="D107" s="16" t="str">
        <f>[2]ВСР!E38</f>
        <v>79508 00520</v>
      </c>
      <c r="E107" s="16"/>
      <c r="F107" s="140">
        <f>F108</f>
        <v>10</v>
      </c>
      <c r="G107" s="140">
        <f>G108</f>
        <v>10.5</v>
      </c>
      <c r="H107" s="140">
        <f>H108</f>
        <v>11</v>
      </c>
    </row>
    <row r="108" spans="1:8" ht="36.950000000000003" customHeight="1" x14ac:dyDescent="0.3">
      <c r="A108" s="54" t="s">
        <v>468</v>
      </c>
      <c r="B108" s="22" t="s">
        <v>44</v>
      </c>
      <c r="C108" s="16" t="s">
        <v>210</v>
      </c>
      <c r="D108" s="38" t="s">
        <v>72</v>
      </c>
      <c r="E108" s="16" t="s">
        <v>45</v>
      </c>
      <c r="F108" s="140">
        <f>ВСР!G87</f>
        <v>10</v>
      </c>
      <c r="G108" s="140">
        <f>ВСР!H87</f>
        <v>10.5</v>
      </c>
      <c r="H108" s="140">
        <f>ВСР!I87</f>
        <v>11</v>
      </c>
    </row>
    <row r="109" spans="1:8" ht="72.599999999999994" customHeight="1" x14ac:dyDescent="0.3">
      <c r="A109" s="54" t="s">
        <v>422</v>
      </c>
      <c r="B109" s="200" t="s">
        <v>212</v>
      </c>
      <c r="C109" s="16" t="s">
        <v>210</v>
      </c>
      <c r="D109" s="16" t="str">
        <f>[2]ВСР!E92</f>
        <v>79512 00490</v>
      </c>
      <c r="E109" s="16"/>
      <c r="F109" s="139">
        <f>F110</f>
        <v>40</v>
      </c>
      <c r="G109" s="139" t="str">
        <f t="shared" ref="G109:H109" si="39">G110</f>
        <v>44,2</v>
      </c>
      <c r="H109" s="139">
        <f t="shared" si="39"/>
        <v>48.6</v>
      </c>
    </row>
    <row r="110" spans="1:8" ht="38.450000000000003" customHeight="1" x14ac:dyDescent="0.3">
      <c r="A110" s="54" t="s">
        <v>469</v>
      </c>
      <c r="B110" s="17" t="s">
        <v>44</v>
      </c>
      <c r="C110" s="19" t="s">
        <v>210</v>
      </c>
      <c r="D110" s="38" t="s">
        <v>118</v>
      </c>
      <c r="E110" s="16" t="s">
        <v>45</v>
      </c>
      <c r="F110" s="139">
        <f>ВСР!G89</f>
        <v>40</v>
      </c>
      <c r="G110" s="139" t="str">
        <f>ВСР!H89</f>
        <v>44,2</v>
      </c>
      <c r="H110" s="139">
        <f>ВСР!I89</f>
        <v>48.6</v>
      </c>
    </row>
    <row r="111" spans="1:8" ht="112.5" customHeight="1" x14ac:dyDescent="0.3">
      <c r="A111" s="54" t="s">
        <v>423</v>
      </c>
      <c r="B111" s="260" t="s">
        <v>238</v>
      </c>
      <c r="C111" s="19" t="s">
        <v>210</v>
      </c>
      <c r="D111" s="16" t="str">
        <f>[2]ВСР!E94</f>
        <v>79514 00530</v>
      </c>
      <c r="E111" s="16"/>
      <c r="F111" s="139">
        <f>F112</f>
        <v>40</v>
      </c>
      <c r="G111" s="139" t="str">
        <f t="shared" ref="G111:H113" si="40">G112</f>
        <v>42,1</v>
      </c>
      <c r="H111" s="139">
        <f t="shared" si="40"/>
        <v>44.2</v>
      </c>
    </row>
    <row r="112" spans="1:8" ht="38.1" customHeight="1" x14ac:dyDescent="0.3">
      <c r="A112" s="54" t="s">
        <v>470</v>
      </c>
      <c r="B112" s="17" t="s">
        <v>44</v>
      </c>
      <c r="C112" s="19" t="s">
        <v>210</v>
      </c>
      <c r="D112" s="16" t="s">
        <v>119</v>
      </c>
      <c r="E112" s="16" t="s">
        <v>45</v>
      </c>
      <c r="F112" s="139">
        <f>ВСР!G91</f>
        <v>40</v>
      </c>
      <c r="G112" s="139" t="str">
        <f>ВСР!H91</f>
        <v>42,1</v>
      </c>
      <c r="H112" s="139">
        <f>ВСР!I91</f>
        <v>44.2</v>
      </c>
    </row>
    <row r="113" spans="1:8" ht="170.45" customHeight="1" x14ac:dyDescent="0.3">
      <c r="A113" s="54" t="s">
        <v>424</v>
      </c>
      <c r="B113" s="261" t="s">
        <v>412</v>
      </c>
      <c r="C113" s="19" t="s">
        <v>210</v>
      </c>
      <c r="D113" s="16" t="s">
        <v>413</v>
      </c>
      <c r="E113" s="16"/>
      <c r="F113" s="139">
        <f>ВСР!G92</f>
        <v>33</v>
      </c>
      <c r="G113" s="139" t="str">
        <f t="shared" si="40"/>
        <v>34,7</v>
      </c>
      <c r="H113" s="139">
        <f t="shared" si="40"/>
        <v>36.5</v>
      </c>
    </row>
    <row r="114" spans="1:8" ht="38.1" customHeight="1" x14ac:dyDescent="0.3">
      <c r="A114" s="54" t="s">
        <v>471</v>
      </c>
      <c r="B114" s="17" t="s">
        <v>44</v>
      </c>
      <c r="C114" s="19" t="s">
        <v>210</v>
      </c>
      <c r="D114" s="16" t="s">
        <v>413</v>
      </c>
      <c r="E114" s="16" t="s">
        <v>45</v>
      </c>
      <c r="F114" s="139">
        <f>ВСР!G93</f>
        <v>33</v>
      </c>
      <c r="G114" s="139" t="str">
        <f>ВСР!H93</f>
        <v>34,7</v>
      </c>
      <c r="H114" s="139">
        <f>ВСР!I93</f>
        <v>36.5</v>
      </c>
    </row>
    <row r="115" spans="1:8" ht="19.5" customHeight="1" x14ac:dyDescent="0.3">
      <c r="A115" s="232" t="s">
        <v>172</v>
      </c>
      <c r="B115" s="233" t="s">
        <v>120</v>
      </c>
      <c r="C115" s="234" t="s">
        <v>214</v>
      </c>
      <c r="D115" s="242"/>
      <c r="E115" s="234"/>
      <c r="F115" s="236">
        <f>ВСР!G94</f>
        <v>10212.299999999999</v>
      </c>
      <c r="G115" s="243">
        <f t="shared" ref="G115:H115" si="41">G116+G121</f>
        <v>10049.25</v>
      </c>
      <c r="H115" s="243">
        <f t="shared" si="41"/>
        <v>10549.8</v>
      </c>
    </row>
    <row r="116" spans="1:8" ht="21.95" customHeight="1" x14ac:dyDescent="0.3">
      <c r="A116" s="54" t="s">
        <v>215</v>
      </c>
      <c r="B116" s="17" t="s">
        <v>122</v>
      </c>
      <c r="C116" s="16" t="s">
        <v>173</v>
      </c>
      <c r="D116" s="38"/>
      <c r="E116" s="16"/>
      <c r="F116" s="139">
        <f>ВСР!G95</f>
        <v>10212.299999999999</v>
      </c>
      <c r="G116" s="139">
        <f t="shared" ref="G116:H116" si="42">G117+G119</f>
        <v>7972.5499999999993</v>
      </c>
      <c r="H116" s="139">
        <f t="shared" si="42"/>
        <v>8369.2999999999993</v>
      </c>
    </row>
    <row r="117" spans="1:8" ht="55.5" customHeight="1" x14ac:dyDescent="0.3">
      <c r="A117" s="54" t="s">
        <v>216</v>
      </c>
      <c r="B117" s="18" t="s">
        <v>217</v>
      </c>
      <c r="C117" s="16" t="s">
        <v>218</v>
      </c>
      <c r="D117" s="16" t="str">
        <f>[2]ВСР!E98</f>
        <v>45011 00200</v>
      </c>
      <c r="E117" s="16"/>
      <c r="F117" s="139">
        <f>ВСР!G96</f>
        <v>5733.4</v>
      </c>
      <c r="G117" s="139">
        <f t="shared" ref="G117:H117" si="43">G118</f>
        <v>5952.95</v>
      </c>
      <c r="H117" s="139">
        <f t="shared" si="43"/>
        <v>6249</v>
      </c>
    </row>
    <row r="118" spans="1:8" ht="37.5" x14ac:dyDescent="0.3">
      <c r="A118" s="54" t="s">
        <v>292</v>
      </c>
      <c r="B118" s="17" t="s">
        <v>44</v>
      </c>
      <c r="C118" s="16" t="s">
        <v>219</v>
      </c>
      <c r="D118" s="38" t="s">
        <v>126</v>
      </c>
      <c r="E118" s="16" t="s">
        <v>45</v>
      </c>
      <c r="F118" s="139">
        <f>ВСР!G97</f>
        <v>5733.4</v>
      </c>
      <c r="G118" s="139">
        <f>ВСР!H97</f>
        <v>5952.95</v>
      </c>
      <c r="H118" s="139">
        <f>ВСР!I97</f>
        <v>6249</v>
      </c>
    </row>
    <row r="119" spans="1:8" ht="75" customHeight="1" x14ac:dyDescent="0.3">
      <c r="A119" s="54" t="s">
        <v>234</v>
      </c>
      <c r="B119" s="17" t="s">
        <v>171</v>
      </c>
      <c r="C119" s="16" t="s">
        <v>218</v>
      </c>
      <c r="D119" s="16" t="s">
        <v>243</v>
      </c>
      <c r="E119" s="16"/>
      <c r="F119" s="139">
        <f>ВСР!G98</f>
        <v>2261.4</v>
      </c>
      <c r="G119" s="139">
        <f t="shared" ref="G119:H119" si="44">G120</f>
        <v>2019.6</v>
      </c>
      <c r="H119" s="139">
        <f t="shared" si="44"/>
        <v>2120.3000000000002</v>
      </c>
    </row>
    <row r="120" spans="1:8" ht="37.5" x14ac:dyDescent="0.3">
      <c r="A120" s="54" t="s">
        <v>293</v>
      </c>
      <c r="B120" s="17" t="s">
        <v>44</v>
      </c>
      <c r="C120" s="16" t="s">
        <v>219</v>
      </c>
      <c r="D120" s="16" t="s">
        <v>243</v>
      </c>
      <c r="E120" s="16" t="s">
        <v>45</v>
      </c>
      <c r="F120" s="139">
        <f>ВСР!G99</f>
        <v>2261.4</v>
      </c>
      <c r="G120" s="139">
        <f>ВСР!H99</f>
        <v>2019.6</v>
      </c>
      <c r="H120" s="139">
        <f>ВСР!I99</f>
        <v>2120.3000000000002</v>
      </c>
    </row>
    <row r="121" spans="1:8" ht="53.25" customHeight="1" x14ac:dyDescent="0.3">
      <c r="A121" s="54" t="s">
        <v>397</v>
      </c>
      <c r="B121" s="17" t="s">
        <v>220</v>
      </c>
      <c r="C121" s="16" t="s">
        <v>123</v>
      </c>
      <c r="D121" s="16" t="str">
        <f>[2]ВСР!E101</f>
        <v>45009 00560</v>
      </c>
      <c r="E121" s="16"/>
      <c r="F121" s="139">
        <f>ВСР!G100</f>
        <v>2217.5</v>
      </c>
      <c r="G121" s="139" t="str">
        <f t="shared" ref="G121:H121" si="45">G122</f>
        <v>2076,7</v>
      </c>
      <c r="H121" s="139" t="str">
        <f t="shared" si="45"/>
        <v>2180,5</v>
      </c>
    </row>
    <row r="122" spans="1:8" ht="37.5" x14ac:dyDescent="0.3">
      <c r="A122" s="54" t="s">
        <v>398</v>
      </c>
      <c r="B122" s="17" t="s">
        <v>44</v>
      </c>
      <c r="C122" s="16" t="s">
        <v>123</v>
      </c>
      <c r="D122" s="38" t="s">
        <v>128</v>
      </c>
      <c r="E122" s="16" t="s">
        <v>45</v>
      </c>
      <c r="F122" s="139">
        <f>ВСР!G101</f>
        <v>2217.5</v>
      </c>
      <c r="G122" s="139" t="str">
        <f>ВСР!H101</f>
        <v>2076,7</v>
      </c>
      <c r="H122" s="139" t="str">
        <f>ВСР!I101</f>
        <v>2180,5</v>
      </c>
    </row>
    <row r="123" spans="1:8" ht="18.75" x14ac:dyDescent="0.3">
      <c r="A123" s="232" t="s">
        <v>221</v>
      </c>
      <c r="B123" s="241" t="s">
        <v>129</v>
      </c>
      <c r="C123" s="234" t="s">
        <v>222</v>
      </c>
      <c r="D123" s="242"/>
      <c r="E123" s="234"/>
      <c r="F123" s="243">
        <f>ВСР!G102</f>
        <v>8992.5</v>
      </c>
      <c r="G123" s="243">
        <f t="shared" ref="G123:H123" si="46">G127+G124</f>
        <v>7709.7</v>
      </c>
      <c r="H123" s="243">
        <f t="shared" si="46"/>
        <v>8001.4</v>
      </c>
    </row>
    <row r="124" spans="1:8" ht="18.75" x14ac:dyDescent="0.3">
      <c r="A124" s="16" t="s">
        <v>223</v>
      </c>
      <c r="B124" s="17" t="s">
        <v>473</v>
      </c>
      <c r="C124" s="19" t="s">
        <v>173</v>
      </c>
      <c r="D124" s="38"/>
      <c r="E124" s="16"/>
      <c r="F124" s="139">
        <f>ВСР!G103</f>
        <v>2115.8000000000002</v>
      </c>
      <c r="G124" s="139">
        <f t="shared" ref="G124:H125" si="47">G125</f>
        <v>565.5</v>
      </c>
      <c r="H124" s="139">
        <f t="shared" si="47"/>
        <v>565.5</v>
      </c>
    </row>
    <row r="125" spans="1:8" ht="187.5" customHeight="1" x14ac:dyDescent="0.3">
      <c r="A125" s="54" t="s">
        <v>307</v>
      </c>
      <c r="B125" s="261" t="s">
        <v>472</v>
      </c>
      <c r="C125" s="19" t="s">
        <v>449</v>
      </c>
      <c r="D125" s="16" t="str">
        <f>[2]ВСР!E105</f>
        <v>50581 00230</v>
      </c>
      <c r="E125" s="16"/>
      <c r="F125" s="139">
        <f>ВСР!G104</f>
        <v>2115.8000000000002</v>
      </c>
      <c r="G125" s="139">
        <f t="shared" si="47"/>
        <v>565.5</v>
      </c>
      <c r="H125" s="139">
        <f t="shared" si="47"/>
        <v>565.5</v>
      </c>
    </row>
    <row r="126" spans="1:8" ht="37.5" x14ac:dyDescent="0.3">
      <c r="A126" s="54" t="s">
        <v>294</v>
      </c>
      <c r="B126" s="17" t="s">
        <v>133</v>
      </c>
      <c r="C126" s="19" t="s">
        <v>449</v>
      </c>
      <c r="D126" s="38" t="s">
        <v>132</v>
      </c>
      <c r="E126" s="16" t="s">
        <v>134</v>
      </c>
      <c r="F126" s="139">
        <f>ВСР!G105</f>
        <v>2115.8000000000002</v>
      </c>
      <c r="G126" s="139">
        <f>ВСР!H105</f>
        <v>565.5</v>
      </c>
      <c r="H126" s="139">
        <f>ВСР!I105</f>
        <v>565.5</v>
      </c>
    </row>
    <row r="127" spans="1:8" ht="18.75" x14ac:dyDescent="0.3">
      <c r="A127" s="54" t="s">
        <v>224</v>
      </c>
      <c r="B127" s="17" t="s">
        <v>225</v>
      </c>
      <c r="C127" s="16" t="s">
        <v>180</v>
      </c>
      <c r="D127" s="38"/>
      <c r="E127" s="16"/>
      <c r="F127" s="139">
        <f>ВСР!G106</f>
        <v>6876.7000000000007</v>
      </c>
      <c r="G127" s="139">
        <f>ВСР!H106</f>
        <v>7144.2</v>
      </c>
      <c r="H127" s="139">
        <f>ВСР!I106</f>
        <v>7435.9</v>
      </c>
    </row>
    <row r="128" spans="1:8" ht="75" customHeight="1" x14ac:dyDescent="0.3">
      <c r="A128" s="54" t="s">
        <v>226</v>
      </c>
      <c r="B128" s="201" t="s">
        <v>137</v>
      </c>
      <c r="C128" s="16" t="s">
        <v>227</v>
      </c>
      <c r="D128" s="16" t="str">
        <f>[2]ВСР!E108</f>
        <v>51100 G0860</v>
      </c>
      <c r="E128" s="158"/>
      <c r="F128" s="139">
        <f>ВСР!G107</f>
        <v>4943.6000000000004</v>
      </c>
      <c r="G128" s="139">
        <f t="shared" ref="G128:H128" si="48">G129</f>
        <v>5136</v>
      </c>
      <c r="H128" s="139">
        <f t="shared" si="48"/>
        <v>5345.7</v>
      </c>
    </row>
    <row r="129" spans="1:8" ht="21" customHeight="1" x14ac:dyDescent="0.3">
      <c r="A129" s="54" t="s">
        <v>295</v>
      </c>
      <c r="B129" s="202" t="s">
        <v>133</v>
      </c>
      <c r="C129" s="16" t="s">
        <v>227</v>
      </c>
      <c r="D129" s="38" t="s">
        <v>138</v>
      </c>
      <c r="E129" s="16" t="s">
        <v>134</v>
      </c>
      <c r="F129" s="139">
        <f>ВСР!G108</f>
        <v>4943.6000000000004</v>
      </c>
      <c r="G129" s="139">
        <f>ВСР!H108</f>
        <v>5136</v>
      </c>
      <c r="H129" s="139">
        <f>ВСР!I108</f>
        <v>5345.7</v>
      </c>
    </row>
    <row r="130" spans="1:8" ht="60.75" customHeight="1" x14ac:dyDescent="0.3">
      <c r="A130" s="54" t="s">
        <v>228</v>
      </c>
      <c r="B130" s="17" t="s">
        <v>139</v>
      </c>
      <c r="C130" s="16" t="s">
        <v>227</v>
      </c>
      <c r="D130" s="21" t="str">
        <f>[2]ВСР!E110</f>
        <v>51100 G0870</v>
      </c>
      <c r="E130" s="16"/>
      <c r="F130" s="139">
        <f>ВСР!G109</f>
        <v>1933.1</v>
      </c>
      <c r="G130" s="140">
        <f t="shared" ref="G130:H130" si="49">G131</f>
        <v>2008.2</v>
      </c>
      <c r="H130" s="140">
        <f t="shared" si="49"/>
        <v>2090.1999999999998</v>
      </c>
    </row>
    <row r="131" spans="1:8" ht="21.95" customHeight="1" x14ac:dyDescent="0.3">
      <c r="A131" s="54" t="s">
        <v>296</v>
      </c>
      <c r="B131" s="188" t="s">
        <v>133</v>
      </c>
      <c r="C131" s="16" t="s">
        <v>227</v>
      </c>
      <c r="D131" s="38" t="s">
        <v>140</v>
      </c>
      <c r="E131" s="16" t="s">
        <v>134</v>
      </c>
      <c r="F131" s="139">
        <f>ВСР!G110</f>
        <v>1933.1</v>
      </c>
      <c r="G131" s="139">
        <f>ВСР!H110</f>
        <v>2008.2</v>
      </c>
      <c r="H131" s="139">
        <f>ВСР!I110</f>
        <v>2090.1999999999998</v>
      </c>
    </row>
    <row r="132" spans="1:8" ht="17.25" customHeight="1" x14ac:dyDescent="0.3">
      <c r="A132" s="232" t="s">
        <v>229</v>
      </c>
      <c r="B132" s="237" t="s">
        <v>169</v>
      </c>
      <c r="C132" s="234" t="s">
        <v>183</v>
      </c>
      <c r="D132" s="238"/>
      <c r="E132" s="239"/>
      <c r="F132" s="236">
        <f>ВСР!G111</f>
        <v>45</v>
      </c>
      <c r="G132" s="240" t="str">
        <f t="shared" ref="G132:H134" si="50">G133</f>
        <v>47,4</v>
      </c>
      <c r="H132" s="240">
        <f t="shared" si="50"/>
        <v>49.7</v>
      </c>
    </row>
    <row r="133" spans="1:8" ht="15.75" customHeight="1" x14ac:dyDescent="0.3">
      <c r="A133" s="54" t="s">
        <v>230</v>
      </c>
      <c r="B133" s="30" t="s">
        <v>170</v>
      </c>
      <c r="C133" s="16" t="s">
        <v>174</v>
      </c>
      <c r="D133" s="39"/>
      <c r="E133" s="16"/>
      <c r="F133" s="139">
        <f>ВСР!G112</f>
        <v>45</v>
      </c>
      <c r="G133" s="140" t="str">
        <f t="shared" si="50"/>
        <v>47,4</v>
      </c>
      <c r="H133" s="140">
        <f t="shared" si="50"/>
        <v>49.7</v>
      </c>
    </row>
    <row r="134" spans="1:8" ht="156" customHeight="1" x14ac:dyDescent="0.3">
      <c r="A134" s="54" t="s">
        <v>231</v>
      </c>
      <c r="B134" s="263" t="s">
        <v>168</v>
      </c>
      <c r="C134" s="16" t="s">
        <v>235</v>
      </c>
      <c r="D134" s="39" t="s">
        <v>167</v>
      </c>
      <c r="E134" s="16"/>
      <c r="F134" s="139">
        <f>ВСР!G113</f>
        <v>45</v>
      </c>
      <c r="G134" s="140" t="str">
        <f t="shared" si="50"/>
        <v>47,4</v>
      </c>
      <c r="H134" s="140">
        <f t="shared" si="50"/>
        <v>49.7</v>
      </c>
    </row>
    <row r="135" spans="1:8" ht="36" customHeight="1" x14ac:dyDescent="0.3">
      <c r="A135" s="54" t="s">
        <v>297</v>
      </c>
      <c r="B135" s="17" t="s">
        <v>44</v>
      </c>
      <c r="C135" s="16" t="s">
        <v>235</v>
      </c>
      <c r="D135" s="39" t="s">
        <v>167</v>
      </c>
      <c r="E135" s="16" t="s">
        <v>45</v>
      </c>
      <c r="F135" s="139">
        <f>ВСР!G114</f>
        <v>45</v>
      </c>
      <c r="G135" s="139" t="str">
        <f>ВСР!H114</f>
        <v>47,4</v>
      </c>
      <c r="H135" s="139">
        <f>ВСР!I114</f>
        <v>49.7</v>
      </c>
    </row>
    <row r="136" spans="1:8" ht="18.75" x14ac:dyDescent="0.3">
      <c r="A136" s="232" t="s">
        <v>222</v>
      </c>
      <c r="B136" s="233" t="s">
        <v>158</v>
      </c>
      <c r="C136" s="234" t="s">
        <v>192</v>
      </c>
      <c r="D136" s="235"/>
      <c r="E136" s="234"/>
      <c r="F136" s="236">
        <f>ВСР!G139</f>
        <v>2600</v>
      </c>
      <c r="G136" s="236" t="str">
        <f>ВСР!H139</f>
        <v>2598</v>
      </c>
      <c r="H136" s="236">
        <f>ВСР!I139</f>
        <v>2678</v>
      </c>
    </row>
    <row r="137" spans="1:8" ht="37.5" x14ac:dyDescent="0.3">
      <c r="A137" s="54" t="s">
        <v>236</v>
      </c>
      <c r="B137" s="161" t="s">
        <v>160</v>
      </c>
      <c r="C137" s="16" t="s">
        <v>174</v>
      </c>
      <c r="D137" s="38"/>
      <c r="E137" s="16"/>
      <c r="F137" s="139">
        <f>ВСР!G140</f>
        <v>2600</v>
      </c>
      <c r="G137" s="139" t="str">
        <f>ВСР!H140</f>
        <v>2598</v>
      </c>
      <c r="H137" s="139">
        <f>ВСР!I140</f>
        <v>2678</v>
      </c>
    </row>
    <row r="138" spans="1:8" ht="166.5" customHeight="1" x14ac:dyDescent="0.3">
      <c r="A138" s="54" t="s">
        <v>237</v>
      </c>
      <c r="B138" s="264" t="s">
        <v>162</v>
      </c>
      <c r="C138" s="16" t="s">
        <v>232</v>
      </c>
      <c r="D138" s="16" t="str">
        <f>[2]ВСР!E131</f>
        <v>45701 00250</v>
      </c>
      <c r="E138" s="16"/>
      <c r="F138" s="212">
        <f t="shared" ref="F138:H138" si="51">F139</f>
        <v>2600</v>
      </c>
      <c r="G138" s="212" t="str">
        <f t="shared" si="51"/>
        <v>2598</v>
      </c>
      <c r="H138" s="140">
        <f t="shared" si="51"/>
        <v>2678</v>
      </c>
    </row>
    <row r="139" spans="1:8" ht="37.5" x14ac:dyDescent="0.3">
      <c r="A139" s="54" t="s">
        <v>496</v>
      </c>
      <c r="B139" s="17" t="s">
        <v>44</v>
      </c>
      <c r="C139" s="16" t="s">
        <v>232</v>
      </c>
      <c r="D139" s="38" t="s">
        <v>163</v>
      </c>
      <c r="E139" s="16" t="s">
        <v>45</v>
      </c>
      <c r="F139" s="139">
        <f>ВСР!G142</f>
        <v>2600</v>
      </c>
      <c r="G139" s="139" t="str">
        <f>ВСР!H142</f>
        <v>2598</v>
      </c>
      <c r="H139" s="139">
        <f>ВСР!I142</f>
        <v>2678</v>
      </c>
    </row>
    <row r="140" spans="1:8" ht="18.75" x14ac:dyDescent="0.3">
      <c r="A140" s="54" t="s">
        <v>578</v>
      </c>
      <c r="B140" s="27" t="s">
        <v>570</v>
      </c>
      <c r="C140" s="20" t="s">
        <v>582</v>
      </c>
      <c r="D140" s="267"/>
      <c r="E140" s="20"/>
      <c r="F140" s="268">
        <f>F141</f>
        <v>379.2</v>
      </c>
      <c r="G140" s="268" t="str">
        <f t="shared" ref="G140:H140" si="52">G141</f>
        <v>1304,8</v>
      </c>
      <c r="H140" s="268">
        <f t="shared" si="52"/>
        <v>482</v>
      </c>
    </row>
    <row r="141" spans="1:8" ht="18.75" x14ac:dyDescent="0.3">
      <c r="A141" s="54" t="s">
        <v>579</v>
      </c>
      <c r="B141" s="27" t="s">
        <v>570</v>
      </c>
      <c r="C141" s="16" t="s">
        <v>581</v>
      </c>
      <c r="D141" s="16" t="s">
        <v>41</v>
      </c>
      <c r="E141" s="16"/>
      <c r="F141" s="139">
        <f>F142</f>
        <v>379.2</v>
      </c>
      <c r="G141" s="139" t="str">
        <f t="shared" ref="G141:H141" si="53">G142</f>
        <v>1304,8</v>
      </c>
      <c r="H141" s="139">
        <f t="shared" si="53"/>
        <v>482</v>
      </c>
    </row>
    <row r="142" spans="1:8" ht="18.75" x14ac:dyDescent="0.3">
      <c r="A142" s="54" t="s">
        <v>580</v>
      </c>
      <c r="B142" s="17" t="s">
        <v>570</v>
      </c>
      <c r="C142" s="16" t="s">
        <v>581</v>
      </c>
      <c r="D142" s="192">
        <v>20600030</v>
      </c>
      <c r="E142" s="16" t="s">
        <v>573</v>
      </c>
      <c r="F142" s="139">
        <f>ВСР!G116</f>
        <v>379.2</v>
      </c>
      <c r="G142" s="139" t="str">
        <f>ВСР!H116</f>
        <v>1304,8</v>
      </c>
      <c r="H142" s="139">
        <f>ВСР!I116</f>
        <v>482</v>
      </c>
    </row>
    <row r="143" spans="1:8" ht="20.25" x14ac:dyDescent="0.3">
      <c r="A143" s="33"/>
      <c r="B143" s="34" t="s">
        <v>164</v>
      </c>
      <c r="C143" s="35"/>
      <c r="D143" s="36"/>
      <c r="E143" s="35"/>
      <c r="F143" s="141">
        <f>F136+F132+F123+F115+F98+F94+F74+F65+F61+F10+F140</f>
        <v>88067.5</v>
      </c>
      <c r="G143" s="141">
        <f t="shared" ref="G143:H143" si="54">G136+G132+G123+G115+G98+G94+G74+G65+G61+G10+G140</f>
        <v>63488.900000000009</v>
      </c>
      <c r="H143" s="141">
        <f t="shared" si="54"/>
        <v>69140.100000000006</v>
      </c>
    </row>
    <row r="144" spans="1:8" ht="18.75" hidden="1" x14ac:dyDescent="0.3">
      <c r="A144" s="37"/>
      <c r="G144" s="142"/>
      <c r="H144" s="142"/>
    </row>
    <row r="145" spans="5:20" ht="18.75" hidden="1" x14ac:dyDescent="0.3">
      <c r="F145" s="137">
        <v>52719.9</v>
      </c>
      <c r="G145" s="142"/>
      <c r="H145" s="142"/>
    </row>
    <row r="146" spans="5:20" hidden="1" x14ac:dyDescent="0.2">
      <c r="G146" s="142"/>
      <c r="H146" s="142"/>
    </row>
    <row r="147" spans="5:20" hidden="1" x14ac:dyDescent="0.2">
      <c r="E147" s="119" t="s">
        <v>233</v>
      </c>
      <c r="F147" s="134">
        <f>F143-F145</f>
        <v>35347.599999999999</v>
      </c>
      <c r="G147" s="142"/>
      <c r="H147" s="142"/>
    </row>
    <row r="148" spans="5:20" hidden="1" x14ac:dyDescent="0.2">
      <c r="G148" s="142"/>
      <c r="H148" s="142"/>
    </row>
    <row r="149" spans="5:20" hidden="1" x14ac:dyDescent="0.2">
      <c r="G149" s="142"/>
      <c r="H149" s="142"/>
    </row>
    <row r="150" spans="5:20" hidden="1" x14ac:dyDescent="0.2">
      <c r="G150" s="142"/>
      <c r="H150" s="142"/>
    </row>
    <row r="151" spans="5:20" hidden="1" x14ac:dyDescent="0.2">
      <c r="G151" s="142"/>
      <c r="H151" s="142"/>
    </row>
    <row r="152" spans="5:20" hidden="1" x14ac:dyDescent="0.2">
      <c r="G152" s="142"/>
      <c r="H152" s="142"/>
    </row>
    <row r="153" spans="5:20" x14ac:dyDescent="0.2">
      <c r="G153" s="208"/>
      <c r="H153" s="208"/>
    </row>
    <row r="154" spans="5:20" x14ac:dyDescent="0.2">
      <c r="F154" s="134"/>
    </row>
    <row r="156" spans="5:20" ht="22.5" x14ac:dyDescent="0.3">
      <c r="F156" s="138"/>
      <c r="T156" s="41"/>
    </row>
  </sheetData>
  <autoFilter ref="A7:F143"/>
  <mergeCells count="8">
    <mergeCell ref="A5:H5"/>
    <mergeCell ref="G7:H7"/>
    <mergeCell ref="A7:A8"/>
    <mergeCell ref="C7:C8"/>
    <mergeCell ref="B7:B8"/>
    <mergeCell ref="D7:D8"/>
    <mergeCell ref="E7:E8"/>
    <mergeCell ref="F7:F8"/>
  </mergeCells>
  <pageMargins left="0.39370078740157483" right="0" top="0.19685039370078741" bottom="0.19685039370078741" header="0.39370078740157483" footer="0.19685039370078741"/>
  <pageSetup scale="61" fitToHeight="0" orientation="portrait" r:id="rId1"/>
  <headerFooter alignWithMargins="0"/>
  <rowBreaks count="5" manualBreakCount="5">
    <brk id="29" max="7" man="1"/>
    <brk id="54" max="7" man="1"/>
    <brk id="81" max="7" man="1"/>
    <brk id="105" max="7" man="1"/>
    <brk id="126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5"/>
  <sheetViews>
    <sheetView tabSelected="1" view="pageBreakPreview" zoomScale="75" zoomScaleNormal="100" zoomScaleSheetLayoutView="75" workbookViewId="0">
      <selection activeCell="C19" sqref="C19"/>
    </sheetView>
  </sheetViews>
  <sheetFormatPr defaultRowHeight="15.75" x14ac:dyDescent="0.25"/>
  <cols>
    <col min="1" max="1" width="44.85546875" style="46" customWidth="1"/>
    <col min="2" max="2" width="35.85546875" style="44" customWidth="1"/>
    <col min="3" max="3" width="18.28515625" style="47" customWidth="1"/>
    <col min="4" max="4" width="16.28515625" style="45" customWidth="1"/>
    <col min="5" max="5" width="19.28515625" style="45" customWidth="1"/>
    <col min="6" max="15" width="9.140625" style="45"/>
  </cols>
  <sheetData>
    <row r="1" spans="1:5" ht="19.5" x14ac:dyDescent="0.35">
      <c r="A1" s="40"/>
      <c r="E1" s="56" t="s">
        <v>452</v>
      </c>
    </row>
    <row r="2" spans="1:5" x14ac:dyDescent="0.25">
      <c r="E2" s="56" t="s">
        <v>17</v>
      </c>
    </row>
    <row r="3" spans="1:5" x14ac:dyDescent="0.25">
      <c r="E3" s="56" t="s">
        <v>16</v>
      </c>
    </row>
    <row r="4" spans="1:5" x14ac:dyDescent="0.25">
      <c r="E4" s="300" t="s">
        <v>591</v>
      </c>
    </row>
    <row r="6" spans="1:5" ht="30.75" customHeight="1" x14ac:dyDescent="0.25">
      <c r="A6" s="332" t="s">
        <v>544</v>
      </c>
      <c r="B6" s="333"/>
      <c r="C6" s="333"/>
      <c r="D6" s="333"/>
      <c r="E6" s="333"/>
    </row>
    <row r="7" spans="1:5" x14ac:dyDescent="0.25">
      <c r="E7" s="98" t="s">
        <v>387</v>
      </c>
    </row>
    <row r="8" spans="1:5" ht="47.25" customHeight="1" x14ac:dyDescent="0.25">
      <c r="A8" s="329" t="s">
        <v>246</v>
      </c>
      <c r="B8" s="329" t="s">
        <v>247</v>
      </c>
      <c r="C8" s="327" t="s">
        <v>386</v>
      </c>
      <c r="D8" s="331" t="s">
        <v>385</v>
      </c>
      <c r="E8" s="331"/>
    </row>
    <row r="9" spans="1:5" ht="15.75" customHeight="1" x14ac:dyDescent="0.25">
      <c r="A9" s="330"/>
      <c r="B9" s="330"/>
      <c r="C9" s="328"/>
      <c r="D9" s="49" t="s">
        <v>389</v>
      </c>
      <c r="E9" s="49" t="s">
        <v>530</v>
      </c>
    </row>
    <row r="10" spans="1:5" x14ac:dyDescent="0.25">
      <c r="A10" s="48">
        <v>1</v>
      </c>
      <c r="B10" s="49">
        <v>2</v>
      </c>
      <c r="C10" s="50">
        <v>3</v>
      </c>
      <c r="D10" s="143">
        <v>4</v>
      </c>
      <c r="E10" s="143">
        <v>5</v>
      </c>
    </row>
    <row r="11" spans="1:5" ht="30.75" customHeight="1" x14ac:dyDescent="0.25">
      <c r="A11" s="51" t="s">
        <v>248</v>
      </c>
      <c r="B11" s="52" t="s">
        <v>249</v>
      </c>
      <c r="C11" s="55">
        <f>C17+C12</f>
        <v>0</v>
      </c>
      <c r="D11" s="55">
        <f>D17+D12</f>
        <v>-5.9999999866704457E-3</v>
      </c>
      <c r="E11" s="55">
        <f>E17+E12</f>
        <v>4.3080000003101304E-2</v>
      </c>
    </row>
    <row r="12" spans="1:5" ht="30.75" customHeight="1" x14ac:dyDescent="0.25">
      <c r="A12" s="51" t="s">
        <v>561</v>
      </c>
      <c r="B12" s="256" t="s">
        <v>562</v>
      </c>
      <c r="C12" s="55">
        <f>C13-C15</f>
        <v>-18600</v>
      </c>
      <c r="D12" s="55">
        <f>D15-D13</f>
        <v>8847</v>
      </c>
      <c r="E12" s="55">
        <f>E15-E13</f>
        <v>9753</v>
      </c>
    </row>
    <row r="13" spans="1:5" ht="30.75" customHeight="1" x14ac:dyDescent="0.25">
      <c r="A13" s="51" t="s">
        <v>563</v>
      </c>
      <c r="B13" s="256" t="s">
        <v>593</v>
      </c>
      <c r="C13" s="55">
        <f>C14</f>
        <v>-18600</v>
      </c>
      <c r="D13" s="55">
        <v>0</v>
      </c>
      <c r="E13" s="55">
        <v>0</v>
      </c>
    </row>
    <row r="14" spans="1:5" ht="81.599999999999994" customHeight="1" x14ac:dyDescent="0.25">
      <c r="A14" s="51" t="s">
        <v>564</v>
      </c>
      <c r="B14" s="256" t="s">
        <v>565</v>
      </c>
      <c r="C14" s="55">
        <v>-18600</v>
      </c>
      <c r="D14" s="55">
        <v>0</v>
      </c>
      <c r="E14" s="55">
        <v>0</v>
      </c>
    </row>
    <row r="15" spans="1:5" ht="30.75" customHeight="1" x14ac:dyDescent="0.25">
      <c r="A15" s="51" t="s">
        <v>566</v>
      </c>
      <c r="B15" s="256" t="s">
        <v>567</v>
      </c>
      <c r="C15" s="55">
        <f>C16</f>
        <v>0</v>
      </c>
      <c r="D15" s="55">
        <f>D16</f>
        <v>8847</v>
      </c>
      <c r="E15" s="55">
        <f>E16</f>
        <v>9753</v>
      </c>
    </row>
    <row r="16" spans="1:5" ht="96.6" customHeight="1" x14ac:dyDescent="0.25">
      <c r="A16" s="51" t="s">
        <v>568</v>
      </c>
      <c r="B16" s="256" t="s">
        <v>594</v>
      </c>
      <c r="C16" s="55">
        <v>0</v>
      </c>
      <c r="D16" s="55">
        <v>8847</v>
      </c>
      <c r="E16" s="55">
        <v>9753</v>
      </c>
    </row>
    <row r="17" spans="1:5" ht="31.5" customHeight="1" x14ac:dyDescent="0.25">
      <c r="A17" s="51" t="s">
        <v>250</v>
      </c>
      <c r="B17" s="53" t="s">
        <v>251</v>
      </c>
      <c r="C17" s="55">
        <f>C18+C23</f>
        <v>18599.999999999985</v>
      </c>
      <c r="D17" s="55">
        <f>D18+D23</f>
        <v>-8847.0059999999867</v>
      </c>
      <c r="E17" s="55">
        <f>E18+E23</f>
        <v>-9752.9569199999969</v>
      </c>
    </row>
    <row r="18" spans="1:5" ht="15" customHeight="1" x14ac:dyDescent="0.25">
      <c r="A18" s="51" t="s">
        <v>252</v>
      </c>
      <c r="B18" s="53" t="s">
        <v>253</v>
      </c>
      <c r="C18" s="55">
        <f>C19</f>
        <v>-69467.5</v>
      </c>
      <c r="D18" s="55">
        <f t="shared" ref="D18:E20" si="0">D19</f>
        <v>-72335.905999999988</v>
      </c>
      <c r="E18" s="55">
        <f t="shared" si="0"/>
        <v>-78893.056920000003</v>
      </c>
    </row>
    <row r="19" spans="1:5" ht="28.5" customHeight="1" x14ac:dyDescent="0.25">
      <c r="A19" s="51" t="s">
        <v>254</v>
      </c>
      <c r="B19" s="53" t="s">
        <v>255</v>
      </c>
      <c r="C19" s="55">
        <f>C20</f>
        <v>-69467.5</v>
      </c>
      <c r="D19" s="55">
        <f t="shared" si="0"/>
        <v>-72335.905999999988</v>
      </c>
      <c r="E19" s="55">
        <f t="shared" si="0"/>
        <v>-78893.056920000003</v>
      </c>
    </row>
    <row r="20" spans="1:5" ht="30" customHeight="1" x14ac:dyDescent="0.25">
      <c r="A20" s="51" t="s">
        <v>256</v>
      </c>
      <c r="B20" s="53" t="s">
        <v>257</v>
      </c>
      <c r="C20" s="55">
        <f>C21</f>
        <v>-69467.5</v>
      </c>
      <c r="D20" s="55">
        <f t="shared" si="0"/>
        <v>-72335.905999999988</v>
      </c>
      <c r="E20" s="55">
        <f t="shared" si="0"/>
        <v>-78893.056920000003</v>
      </c>
    </row>
    <row r="21" spans="1:5" ht="65.25" customHeight="1" x14ac:dyDescent="0.25">
      <c r="A21" s="51" t="s">
        <v>258</v>
      </c>
      <c r="B21" s="53" t="s">
        <v>259</v>
      </c>
      <c r="C21" s="55">
        <f>-Доходы!E57</f>
        <v>-69467.5</v>
      </c>
      <c r="D21" s="55">
        <f>-Доходы!F57</f>
        <v>-72335.905999999988</v>
      </c>
      <c r="E21" s="55">
        <f>-Доходы!G57</f>
        <v>-78893.056920000003</v>
      </c>
    </row>
    <row r="22" spans="1:5" ht="14.25" customHeight="1" x14ac:dyDescent="0.25">
      <c r="A22" s="51" t="s">
        <v>309</v>
      </c>
      <c r="B22" s="53" t="s">
        <v>310</v>
      </c>
      <c r="C22" s="55">
        <f>C23</f>
        <v>88067.499999999985</v>
      </c>
      <c r="D22" s="55">
        <f t="shared" ref="D22:E24" si="1">D23</f>
        <v>63488.9</v>
      </c>
      <c r="E22" s="55">
        <f t="shared" si="1"/>
        <v>69140.100000000006</v>
      </c>
    </row>
    <row r="23" spans="1:5" ht="29.25" customHeight="1" x14ac:dyDescent="0.25">
      <c r="A23" s="51" t="s">
        <v>260</v>
      </c>
      <c r="B23" s="53" t="s">
        <v>261</v>
      </c>
      <c r="C23" s="55">
        <f>C24</f>
        <v>88067.499999999985</v>
      </c>
      <c r="D23" s="55">
        <f t="shared" si="1"/>
        <v>63488.9</v>
      </c>
      <c r="E23" s="55">
        <f t="shared" si="1"/>
        <v>69140.100000000006</v>
      </c>
    </row>
    <row r="24" spans="1:5" ht="30.75" customHeight="1" x14ac:dyDescent="0.25">
      <c r="A24" s="51" t="s">
        <v>262</v>
      </c>
      <c r="B24" s="53" t="s">
        <v>263</v>
      </c>
      <c r="C24" s="55">
        <f>C25</f>
        <v>88067.499999999985</v>
      </c>
      <c r="D24" s="55">
        <f t="shared" si="1"/>
        <v>63488.9</v>
      </c>
      <c r="E24" s="55">
        <f t="shared" si="1"/>
        <v>69140.100000000006</v>
      </c>
    </row>
    <row r="25" spans="1:5" ht="63" customHeight="1" x14ac:dyDescent="0.25">
      <c r="A25" s="51" t="s">
        <v>264</v>
      </c>
      <c r="B25" s="53" t="s">
        <v>265</v>
      </c>
      <c r="C25" s="55">
        <f>ВСР!G153</f>
        <v>88067.499999999985</v>
      </c>
      <c r="D25" s="55">
        <f>ВСР!H153</f>
        <v>63488.9</v>
      </c>
      <c r="E25" s="55">
        <f>ВСР!I153</f>
        <v>69140.100000000006</v>
      </c>
    </row>
  </sheetData>
  <mergeCells count="5">
    <mergeCell ref="C8:C9"/>
    <mergeCell ref="B8:B9"/>
    <mergeCell ref="A8:A9"/>
    <mergeCell ref="D8:E8"/>
    <mergeCell ref="A6:E6"/>
  </mergeCells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Доходы</vt:lpstr>
      <vt:lpstr>ВСР</vt:lpstr>
      <vt:lpstr>Прилож.3 Распр.по ассигн.</vt:lpstr>
      <vt:lpstr>Приложение 4 Источники</vt:lpstr>
      <vt:lpstr>ВСР!Область_печати</vt:lpstr>
      <vt:lpstr>Доходы!Область_печати</vt:lpstr>
      <vt:lpstr>'Прилож.3 Распр.по ассигн.'!Область_печати</vt:lpstr>
      <vt:lpstr>'Приложение 4 Источники'!Область_печати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2020-04-30T13:21:43Z</dcterms:modified>
</cp:coreProperties>
</file>